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activeTab="6"/>
  </bookViews>
  <sheets>
    <sheet name="elosztások" sheetId="1" r:id="rId1"/>
    <sheet name="grafikonok" sheetId="2" r:id="rId2"/>
    <sheet name="n" sheetId="3" r:id="rId3"/>
    <sheet name="sz1sz2h" sheetId="4" r:id="rId4"/>
    <sheet name="sz3sz4" sheetId="5" r:id="rId5"/>
    <sheet name="adatok" sheetId="6" r:id="rId6"/>
    <sheet name="számítás" sheetId="7" r:id="rId7"/>
  </sheets>
  <definedNames>
    <definedName name="Z_FB98DD97_45A3_46B2_BF1D_0BBA3503EFA1_.wvu.Cols" localSheetId="5" hidden="1">'adatok'!$H:$H</definedName>
  </definedNames>
  <calcPr fullCalcOnLoad="1"/>
</workbook>
</file>

<file path=xl/comments1.xml><?xml version="1.0" encoding="utf-8"?>
<comments xmlns="http://schemas.openxmlformats.org/spreadsheetml/2006/main">
  <authors>
    <author>Vida Mari</author>
  </authors>
  <commentList>
    <comment ref="A29" authorId="0">
      <text>
        <r>
          <rPr>
            <sz val="8"/>
            <rFont val="Tahoma"/>
            <family val="2"/>
          </rPr>
          <t xml:space="preserve">
Más forrásból kapja az ösztöndíjas keretét</t>
        </r>
      </text>
    </comment>
  </commentList>
</comments>
</file>

<file path=xl/comments3.xml><?xml version="1.0" encoding="utf-8"?>
<comments xmlns="http://schemas.openxmlformats.org/spreadsheetml/2006/main">
  <authors>
    <author>d</author>
    <author>PC</author>
  </authors>
  <commentList>
    <comment ref="E2" authorId="0">
      <text>
        <r>
          <rPr>
            <sz val="10"/>
            <rFont val="Tahoma"/>
            <family val="2"/>
          </rPr>
          <t>Az intézmény doktori iskolával rendelkező karain  (szakjain) nappali tagozaton, egyetemi ( MSc/MA ) oklevelet szerzett  hallgatók száma. A számítás alapja a tárgyévet megelőző három év október 15-i adatainak átlaga.</t>
        </r>
        <r>
          <rPr>
            <sz val="10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becsült adat (a hiányos statisztika miatt)</t>
        </r>
      </text>
    </comment>
  </commentList>
</comments>
</file>

<file path=xl/comments4.xml><?xml version="1.0" encoding="utf-8"?>
<comments xmlns="http://schemas.openxmlformats.org/spreadsheetml/2006/main">
  <authors>
    <author>Nyooc</author>
    <author>FSC</author>
  </authors>
  <commentList>
    <comment ref="N1" authorId="0">
      <text>
        <r>
          <rPr>
            <sz val="8"/>
            <rFont val="Tahoma"/>
            <family val="2"/>
          </rPr>
          <t xml:space="preserve">A szervezett doktori képzésben résztvevők száma. A számítás alapja a tárgyévet megelőző három év október 15-én aktív félévet teljesítő hallgatók létszámainak átlaga. (Hallgatónként összesen csak hat szemeszter számolható el.) </t>
        </r>
      </text>
    </comment>
    <comment ref="O1" authorId="1">
      <text>
        <r>
          <rPr>
            <sz val="8"/>
            <rFont val="Tahoma"/>
            <family val="2"/>
          </rPr>
          <t xml:space="preserve">Az Egyetemi Doktori Tanács határozatával (regisztrációs vagy anyakönyvi szám) megerősített összes doktori fokozatok száma. A számítás alapja a tárgyévet megelőző három naptári év adatainak átlaga. </t>
        </r>
        <r>
          <rPr>
            <b/>
            <sz val="8"/>
            <rFont val="Tahoma"/>
            <family val="2"/>
          </rPr>
          <t xml:space="preserve">
</t>
        </r>
      </text>
    </comment>
    <comment ref="P31" authorId="1">
      <text>
        <r>
          <rPr>
            <sz val="8"/>
            <rFont val="Tahoma"/>
            <family val="2"/>
          </rPr>
          <t xml:space="preserve">Országosan összesített adatokra számolva (ez azonos az egyetemi hatásfokok súlyozott átlagával - súlyfaktor: a felvettek száma).
</t>
        </r>
      </text>
    </comment>
    <comment ref="P1" authorId="1">
      <text>
        <r>
          <rPr>
            <sz val="8"/>
            <rFont val="Tahoma"/>
            <family val="2"/>
          </rPr>
          <t>Az utolsó három lezárt naptári évben képzéssel fokozatot szerzettek számát a megelőző három éves időszakban felvett h</t>
        </r>
        <r>
          <rPr>
            <sz val="8"/>
            <rFont val="Tahoma"/>
            <family val="2"/>
          </rPr>
          <t>allgatók számához viszonyítja. (Amelyik egyetemnél a hatásfok-adatok nem számíthatók, annál az algoritmust a többi egyetem</t>
        </r>
        <r>
          <rPr>
            <sz val="8"/>
            <color indexed="10"/>
            <rFont val="Tahoma"/>
            <family val="2"/>
          </rPr>
          <t xml:space="preserve"> hatásfok-átlagai </t>
        </r>
        <r>
          <rPr>
            <sz val="8"/>
            <rFont val="Tahoma"/>
            <family val="2"/>
          </rPr>
          <t xml:space="preserve">alapján kell lefuttatni.)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FSC</author>
  </authors>
  <commentList>
    <comment ref="F2" authorId="0">
      <text>
        <r>
          <rPr>
            <sz val="8"/>
            <rFont val="Tahoma"/>
            <family val="2"/>
          </rPr>
          <t xml:space="preserve">Az egyetemen dolgozó teljes munkaidejű jogviszonyban lévő, tudományos fokozattal rendelkező oktatók és kutatók száma. A PhD/CSc 1-es, a DSc 3-as, az akadémikus 5-ös súlyozással számolható be. A számítás alapja a tárgyévet megelőző év október 15-i adata (minden személy csak egy intézményben vehető számításba). 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rFont val="Tahoma"/>
            <family val="2"/>
          </rPr>
          <t>Az egyetem hány tudományágban folytat PhD képzést, illetve ad ki fokozatot a tárgyévben</t>
        </r>
      </text>
    </comment>
  </commentList>
</comments>
</file>

<file path=xl/comments6.xml><?xml version="1.0" encoding="utf-8"?>
<comments xmlns="http://schemas.openxmlformats.org/spreadsheetml/2006/main">
  <authors>
    <author>FSC</author>
    <author>vidamari</author>
  </authors>
  <commentList>
    <comment ref="D3" authorId="0">
      <text>
        <r>
          <rPr>
            <sz val="8"/>
            <rFont val="Tahoma"/>
            <family val="2"/>
          </rPr>
          <t>Graduális végzők száma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PhD képzésben résztvevők</t>
        </r>
        <r>
          <rPr>
            <sz val="8"/>
            <rFont val="Tahoma"/>
            <family val="2"/>
          </rPr>
          <t xml:space="preserve">
</t>
        </r>
      </text>
    </comment>
    <comment ref="K3" authorId="0">
      <text>
        <r>
          <rPr>
            <sz val="8"/>
            <rFont val="Tahoma"/>
            <family val="2"/>
          </rPr>
          <t>Fokozatot szerzettek száma</t>
        </r>
      </text>
    </comment>
    <comment ref="N3" authorId="0">
      <text>
        <r>
          <rPr>
            <sz val="8"/>
            <rFont val="Tahoma"/>
            <family val="2"/>
          </rPr>
          <t>Tudományágak száma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sz val="8"/>
            <rFont val="Tahoma"/>
            <family val="2"/>
          </rPr>
          <t>Minősített oktatók pontszáma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sz val="8"/>
            <rFont val="Tahoma"/>
            <family val="2"/>
          </rPr>
          <t xml:space="preserve">Hatásfok: A számítás alapja a három utoljára számított hatásfok-mutató átlaga. 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 xml:space="preserve">Összehasonlítás céljából a 2011-es évre vonatkozó számítás adatai (2007-2009 OKM adatbázis alapján) 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 xml:space="preserve">Összehasonlítás céljából a 2011-es évre vonatkozó számítás adatai (2007-2009 OKM adatbázis alapján) </t>
        </r>
      </text>
    </comment>
    <comment ref="M2" authorId="0">
      <text>
        <r>
          <rPr>
            <sz val="8"/>
            <rFont val="Tahoma"/>
            <family val="2"/>
          </rPr>
          <t xml:space="preserve">Összehasonlítás céljából a 2009/2010 tanévre vonatkozó számítás adatai
</t>
        </r>
      </text>
    </comment>
    <comment ref="R2" authorId="0">
      <text>
        <r>
          <rPr>
            <sz val="8"/>
            <rFont val="Tahoma"/>
            <family val="2"/>
          </rPr>
          <t xml:space="preserve">A 2008/2009 tanévre vonatkozó számítás hatásfok adatai
</t>
        </r>
      </text>
    </comment>
    <comment ref="S2" authorId="0">
      <text>
        <r>
          <rPr>
            <sz val="8"/>
            <rFont val="Tahoma"/>
            <family val="2"/>
          </rPr>
          <t xml:space="preserve">A 2009/2010 tanévre vonatkozó számítás hatásfok adatai
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rFont val="Tahoma"/>
            <family val="2"/>
          </rPr>
          <t xml:space="preserve">Összehasonlítás céljából a 2010-es évre vonatkozó számítás adatai (2006-2008 OKM adatbázis alapján)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 xml:space="preserve">Összehasonlítás céljából a 2010-es évre vonatkozó számítás adatai (2006-2008 OKM adatbázis alapján) </t>
        </r>
      </text>
    </comment>
    <comment ref="L2" authorId="0">
      <text>
        <r>
          <rPr>
            <sz val="8"/>
            <rFont val="Tahoma"/>
            <family val="2"/>
          </rPr>
          <t xml:space="preserve">Összehasonlítás céljából a 2009/2010 tanévre vonatkozó számítás adatai
</t>
        </r>
      </text>
    </comment>
    <comment ref="D2" authorId="1">
      <text>
        <r>
          <rPr>
            <sz val="9"/>
            <rFont val="Tahoma"/>
            <family val="2"/>
          </rPr>
          <t xml:space="preserve">a 2012-es évre vonatkozó számítás adatai (2008-2010-es OKM adatok alapján)
</t>
        </r>
      </text>
    </comment>
    <comment ref="G2" authorId="1">
      <text>
        <r>
          <rPr>
            <sz val="9"/>
            <rFont val="Tahoma"/>
            <family val="2"/>
          </rPr>
          <t xml:space="preserve">a 2012-es évre vonatkozó adatok (a 2008-2010 OKM adatok alapján)
</t>
        </r>
      </text>
    </comment>
  </commentList>
</comments>
</file>

<file path=xl/comments7.xml><?xml version="1.0" encoding="utf-8"?>
<comments xmlns="http://schemas.openxmlformats.org/spreadsheetml/2006/main">
  <authors>
    <author>FSC</author>
    <author>vidamari</author>
  </authors>
  <commentList>
    <comment ref="B2" authorId="0">
      <text>
        <r>
          <rPr>
            <sz val="8"/>
            <rFont val="Tahoma"/>
            <family val="2"/>
          </rPr>
          <t>Graduális végzők száma</t>
        </r>
        <r>
          <rPr>
            <sz val="8"/>
            <rFont val="Tahoma"/>
            <family val="2"/>
          </rPr>
          <t xml:space="preserve">
</t>
        </r>
      </text>
    </comment>
    <comment ref="C2" authorId="0">
      <text>
        <r>
          <rPr>
            <sz val="8"/>
            <rFont val="Tahoma"/>
            <family val="2"/>
          </rPr>
          <t>PhD képzésben résztvevők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sz val="8"/>
            <rFont val="Tahoma"/>
            <family val="2"/>
          </rPr>
          <t>Fokozatot szerzettek száma</t>
        </r>
      </text>
    </comment>
    <comment ref="E2" authorId="0">
      <text>
        <r>
          <rPr>
            <sz val="8"/>
            <rFont val="Tahoma"/>
            <family val="2"/>
          </rPr>
          <t>Tudományágak száma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sz val="8"/>
            <rFont val="Tahoma"/>
            <family val="2"/>
          </rPr>
          <t>Minősített oktatók pontszáma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sz val="8"/>
            <rFont val="Tahoma"/>
            <family val="2"/>
          </rPr>
          <t xml:space="preserve">Hatásfok: A számítás alapja a három utoljára számított hatásfok-mutató átlaga. 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sz val="8"/>
            <rFont val="Tahoma"/>
            <family val="2"/>
          </rPr>
          <t>elsődleges számítás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sz val="8"/>
            <rFont val="Tahoma"/>
            <family val="2"/>
          </rPr>
          <t xml:space="preserve">hatásfokkal
</t>
        </r>
      </text>
    </comment>
    <comment ref="R2" authorId="0">
      <text>
        <r>
          <rPr>
            <sz val="8"/>
            <rFont val="Tahoma"/>
            <family val="2"/>
          </rPr>
          <t>előző évi elosztás</t>
        </r>
      </text>
    </comment>
    <comment ref="S2" authorId="0">
      <text>
        <r>
          <rPr>
            <sz val="8"/>
            <rFont val="Tahoma"/>
            <family val="2"/>
          </rPr>
          <t>eltérés az előző évtől</t>
        </r>
        <r>
          <rPr>
            <sz val="8"/>
            <rFont val="Tahoma"/>
            <family val="2"/>
          </rPr>
          <t xml:space="preserve">
 (számítás fül)
</t>
        </r>
      </text>
    </comment>
    <comment ref="T2" authorId="0">
      <text>
        <r>
          <rPr>
            <sz val="8"/>
            <rFont val="Tahoma"/>
            <family val="2"/>
          </rPr>
          <t xml:space="preserve">Korlát: 15% (illetve 10 fő alatt 1, 20 fő alatt 2). Ha a számolás az előző évitől a korlátot meghaladó mértékben eltérő  keretszámot eredményez, akkor a korlát feletti eltérést figyelmen kívül kell hagyni. Ezen egyetemeket kihagyva és a nekik juttatott helyeket levonva, ismét le kell futtatni az algoritmust. </t>
        </r>
        <r>
          <rPr>
            <sz val="8"/>
            <rFont val="Tahoma"/>
            <family val="2"/>
          </rPr>
          <t xml:space="preserve">
</t>
        </r>
      </text>
    </comment>
    <comment ref="W8" authorId="1">
      <text>
        <r>
          <rPr>
            <sz val="9"/>
            <rFont val="Tahoma"/>
            <family val="2"/>
          </rPr>
          <t>méltányosságból kapott még egy helyet</t>
        </r>
      </text>
    </comment>
  </commentList>
</comments>
</file>

<file path=xl/sharedStrings.xml><?xml version="1.0" encoding="utf-8"?>
<sst xmlns="http://schemas.openxmlformats.org/spreadsheetml/2006/main" count="286" uniqueCount="122">
  <si>
    <t>BCE</t>
  </si>
  <si>
    <t>BME</t>
  </si>
  <si>
    <t>DE</t>
  </si>
  <si>
    <t>DRHE</t>
  </si>
  <si>
    <t>ELTE</t>
  </si>
  <si>
    <t>EHE</t>
  </si>
  <si>
    <t>KE</t>
  </si>
  <si>
    <t>LFZE</t>
  </si>
  <si>
    <t>MKE</t>
  </si>
  <si>
    <t>ME</t>
  </si>
  <si>
    <t>NyME</t>
  </si>
  <si>
    <t>ORZsE</t>
  </si>
  <si>
    <t>PPKE</t>
  </si>
  <si>
    <t>PTE</t>
  </si>
  <si>
    <t>SE</t>
  </si>
  <si>
    <t>SzE</t>
  </si>
  <si>
    <t>SzTE</t>
  </si>
  <si>
    <t>SzIE</t>
  </si>
  <si>
    <t>SzFE</t>
  </si>
  <si>
    <t>PE</t>
  </si>
  <si>
    <t>intézmény</t>
  </si>
  <si>
    <t>összesen</t>
  </si>
  <si>
    <t>MoME</t>
  </si>
  <si>
    <t>BNNyE</t>
  </si>
  <si>
    <t>KeE</t>
  </si>
  <si>
    <t>KRE</t>
  </si>
  <si>
    <t>OR-ZsE</t>
  </si>
  <si>
    <t>MOME</t>
  </si>
  <si>
    <t>kerethányad</t>
  </si>
  <si>
    <t>Sz1</t>
  </si>
  <si>
    <t>N</t>
  </si>
  <si>
    <t>Sz2</t>
  </si>
  <si>
    <t>Sz3</t>
  </si>
  <si>
    <t>Sz4</t>
  </si>
  <si>
    <t>elsődleges elosztás</t>
  </si>
  <si>
    <t>Aktív résztvevők</t>
  </si>
  <si>
    <t>Felvettek</t>
  </si>
  <si>
    <t>Fokozatok</t>
  </si>
  <si>
    <t>Egyéni</t>
  </si>
  <si>
    <t>Hatásfok</t>
  </si>
  <si>
    <t>DSc</t>
  </si>
  <si>
    <t>MTA</t>
  </si>
  <si>
    <t>Sz4 szakmai háttér</t>
  </si>
  <si>
    <t>T. ágak  SZ3</t>
  </si>
  <si>
    <t>átlagos h</t>
  </si>
  <si>
    <t>http://db.okm.gov.hu/statisztika/fs08_fm/</t>
  </si>
  <si>
    <t xml:space="preserve">a tudományos fokozattal, ill. címmel </t>
  </si>
  <si>
    <t>rendelkező oktatók száma intézményenként, karonként</t>
  </si>
  <si>
    <t xml:space="preserve">Forrás:  ODT adatbázis, tudományágak száma intézményenként  </t>
  </si>
  <si>
    <t>http://www.doktori.hu/index.php?menuid=109</t>
  </si>
  <si>
    <t xml:space="preserve">adott intézményen belül a doktori iskolák átfedő tudományágai csak egyszer számolva </t>
  </si>
  <si>
    <t xml:space="preserve">Forrás: az OKM  kimutatások </t>
  </si>
  <si>
    <t xml:space="preserve">Forrás: az ODT adatbázis </t>
  </si>
  <si>
    <t>http://www.doktori.hu</t>
  </si>
  <si>
    <t xml:space="preserve">Sz2 </t>
  </si>
  <si>
    <t xml:space="preserve">Sz3 </t>
  </si>
  <si>
    <t xml:space="preserve">Sz4 </t>
  </si>
  <si>
    <t xml:space="preserve">H </t>
  </si>
  <si>
    <t>eltérés a tavalyitól</t>
  </si>
  <si>
    <t>korlát</t>
  </si>
  <si>
    <t>korrekciós faktor</t>
  </si>
  <si>
    <t>hatásfokkal</t>
  </si>
  <si>
    <t>Budapesti Corvinus Egyetem</t>
  </si>
  <si>
    <t>Andrássy Gyula Budapesti Német nyelvű Egyetem</t>
  </si>
  <si>
    <t>Debreceni Református Hittudományi Egyetem</t>
  </si>
  <si>
    <t>Evangélikus Hittudományi Egyetem</t>
  </si>
  <si>
    <t>Kaposvári Egyetem</t>
  </si>
  <si>
    <t>Közép-európai Egyetem</t>
  </si>
  <si>
    <t>Károli Gáspár Református Egyetem</t>
  </si>
  <si>
    <t>Miskolci Egyetem</t>
  </si>
  <si>
    <t>Magyar Képzőművészeti Egyetem</t>
  </si>
  <si>
    <t>Moholy-Nagy Egyetem</t>
  </si>
  <si>
    <t>Nyugat-magyarországi Egyetem</t>
  </si>
  <si>
    <t>Országos Rabbiképző-Zsidó Egyetem</t>
  </si>
  <si>
    <t>Pannon Egyetem</t>
  </si>
  <si>
    <t>Pázmány Péter Katolikus Egyetem</t>
  </si>
  <si>
    <t>Pécsi Tudományegyetem</t>
  </si>
  <si>
    <t>Semmeilweis Egyetem</t>
  </si>
  <si>
    <t>Széchenyi István Egyetem</t>
  </si>
  <si>
    <t>Színház- és Filmművészeti Egyetem</t>
  </si>
  <si>
    <t>Szent István Egyetem</t>
  </si>
  <si>
    <t>Szegedi Tudományegyetem</t>
  </si>
  <si>
    <t>Zrinyi Miklós Nemzetvédelmi Egyetem</t>
  </si>
  <si>
    <t>Budapesti Műszaki és Gazdaságtudományi Egyetem</t>
  </si>
  <si>
    <t>Eötvös Loránd Tudományegyetem</t>
  </si>
  <si>
    <t>Liszt Ferenc Zeneművészeti Egyetem</t>
  </si>
  <si>
    <t>segédszámítás</t>
  </si>
  <si>
    <t xml:space="preserve">      az egyes szempontok alapján számolt keretek</t>
  </si>
  <si>
    <t>összesítve</t>
  </si>
  <si>
    <t>2009. október 2-án néhány DI-ben nem akkreditált tudományágak elhagyásával</t>
  </si>
  <si>
    <t>A megjegyzés megjelenik, ha a kurzort a piros háromszögre mozgatjuk</t>
  </si>
  <si>
    <t>PhD/CSc/DLA</t>
  </si>
  <si>
    <t>emelés</t>
  </si>
  <si>
    <t>alap</t>
  </si>
  <si>
    <t xml:space="preserve">C változat: </t>
  </si>
  <si>
    <t>A mindenkori állami ösztöndíj helyek 20%-a az egyetemek minősítéséhez van kötve úgy, hogy a "kutatóegyetem",</t>
  </si>
  <si>
    <t xml:space="preserve"> "kíváló egyetem", illetve "egyéb jogosult" kategóriába tartozó egyetemek mindegyike kategóriaként 25:15:5 arányban </t>
  </si>
  <si>
    <t>részesül belőle.</t>
  </si>
  <si>
    <t>Óbudai Egyetem</t>
  </si>
  <si>
    <t>OE</t>
  </si>
  <si>
    <t>EKF</t>
  </si>
  <si>
    <t>Esterházy Károly Főiskola</t>
  </si>
  <si>
    <t xml:space="preserve">Forrás: az OKM  kimutatása 2010 évre </t>
  </si>
  <si>
    <t>2006-2008</t>
  </si>
  <si>
    <t>2007-2009</t>
  </si>
  <si>
    <t>2008-2010</t>
  </si>
  <si>
    <t>H</t>
  </si>
  <si>
    <t>Tudományágak száma</t>
  </si>
  <si>
    <t>Minősített oktatók pontszáma</t>
  </si>
  <si>
    <t xml:space="preserve">Hatásfok </t>
  </si>
  <si>
    <t>PhD képzésben résztvevők száma (átlag)</t>
  </si>
  <si>
    <t>átlag</t>
  </si>
  <si>
    <t>Graduális képzésben kiadott oklevelek száma (átlag)</t>
  </si>
  <si>
    <t>PhD fokozatok száma (átlag)</t>
  </si>
  <si>
    <t>Debreceni Egyetem</t>
  </si>
  <si>
    <t>eltérés</t>
  </si>
  <si>
    <t>http://db.nefmi.gov.hu/statisztika/fs09_fm/</t>
  </si>
  <si>
    <t>ODT munkaanyagok (2010)</t>
  </si>
  <si>
    <t>(ODT Munkaanyagok)</t>
  </si>
  <si>
    <t>ZMNE/NKE</t>
  </si>
  <si>
    <t>+1</t>
  </si>
  <si>
    <t>az előző évi keretelosztásnál felajánlott 1 helyet kapja vissza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</si>
</sst>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%"/>
    <numFmt numFmtId="167" formatCode="#,##0.000"/>
    <numFmt numFmtId="168" formatCode="0.0000"/>
    <numFmt numFmtId="169" formatCode="_-* #,##0.000\ _F_t_-;\-* #,##0.000\ _F_t_-;_-* &quot;-&quot;??\ _F_t_-;_-@_-"/>
  </numFmts>
  <fonts count="8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Tahoma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Univers Condensed"/>
      <family val="2"/>
    </font>
    <font>
      <sz val="10"/>
      <name val="Univers Condensed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10"/>
      <name val="Univers Condensed"/>
      <family val="2"/>
    </font>
    <font>
      <b/>
      <sz val="10"/>
      <color indexed="57"/>
      <name val="Arial CE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Arial CE"/>
      <family val="0"/>
    </font>
    <font>
      <sz val="10"/>
      <color indexed="23"/>
      <name val="Tahoma"/>
      <family val="2"/>
    </font>
    <font>
      <b/>
      <sz val="10"/>
      <color indexed="23"/>
      <name val="Univers Condensed"/>
      <family val="2"/>
    </font>
    <font>
      <b/>
      <sz val="14"/>
      <color indexed="10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5"/>
      <name val="Arial CE"/>
      <family val="0"/>
    </font>
    <font>
      <b/>
      <sz val="11"/>
      <color indexed="15"/>
      <name val="Arial"/>
      <family val="0"/>
    </font>
    <font>
      <b/>
      <sz val="11"/>
      <color indexed="13"/>
      <name val="Arial"/>
      <family val="0"/>
    </font>
    <font>
      <b/>
      <sz val="11"/>
      <color indexed="17"/>
      <name val="Arial"/>
      <family val="0"/>
    </font>
    <font>
      <b/>
      <sz val="11"/>
      <color indexed="16"/>
      <name val="Arial"/>
      <family val="0"/>
    </font>
    <font>
      <b/>
      <sz val="11"/>
      <color indexed="10"/>
      <name val="Arial"/>
      <family val="0"/>
    </font>
    <font>
      <b/>
      <sz val="11"/>
      <color indexed="18"/>
      <name val="Arial"/>
      <family val="0"/>
    </font>
    <font>
      <b/>
      <sz val="11"/>
      <color indexed="12"/>
      <name val="Arial"/>
      <family val="0"/>
    </font>
    <font>
      <b/>
      <sz val="11"/>
      <color indexed="20"/>
      <name val="Arial"/>
      <family val="0"/>
    </font>
    <font>
      <b/>
      <sz val="11"/>
      <color indexed="4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 tint="-0.3499799966812134"/>
      <name val="Arial CE"/>
      <family val="0"/>
    </font>
    <font>
      <b/>
      <sz val="10"/>
      <color theme="0" tint="-0.4999699890613556"/>
      <name val="Arial CE"/>
      <family val="0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/>
      <bottom style="thin"/>
    </border>
    <border>
      <left style="thin"/>
      <right/>
      <top style="medium"/>
      <bottom style="medium"/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12" fillId="0" borderId="0" xfId="56" applyFont="1">
      <alignment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0" fontId="5" fillId="0" borderId="0" xfId="43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6" fillId="0" borderId="0" xfId="56" applyFont="1" applyAlignment="1">
      <alignment vertical="top"/>
      <protection/>
    </xf>
    <xf numFmtId="0" fontId="16" fillId="0" borderId="0" xfId="56" applyFont="1">
      <alignment/>
      <protection/>
    </xf>
    <xf numFmtId="0" fontId="11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43" applyFill="1" applyBorder="1" applyAlignment="1" applyProtection="1">
      <alignment/>
      <protection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2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1" fontId="0" fillId="33" borderId="23" xfId="0" applyNumberFormat="1" applyFill="1" applyBorder="1" applyAlignment="1">
      <alignment/>
    </xf>
    <xf numFmtId="1" fontId="6" fillId="33" borderId="24" xfId="0" applyNumberFormat="1" applyFont="1" applyFill="1" applyBorder="1" applyAlignment="1">
      <alignment horizontal="right"/>
    </xf>
    <xf numFmtId="1" fontId="0" fillId="33" borderId="24" xfId="0" applyNumberFormat="1" applyFill="1" applyBorder="1" applyAlignment="1">
      <alignment/>
    </xf>
    <xf numFmtId="0" fontId="6" fillId="33" borderId="24" xfId="0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3" fontId="7" fillId="0" borderId="26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6" fillId="35" borderId="27" xfId="0" applyFont="1" applyFill="1" applyBorder="1" applyAlignment="1">
      <alignment horizontal="center" vertical="center"/>
    </xf>
    <xf numFmtId="167" fontId="6" fillId="33" borderId="24" xfId="0" applyNumberFormat="1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28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" fontId="6" fillId="0" borderId="31" xfId="0" applyNumberFormat="1" applyFont="1" applyBorder="1" applyAlignment="1">
      <alignment horizontal="right"/>
    </xf>
    <xf numFmtId="3" fontId="7" fillId="33" borderId="32" xfId="0" applyNumberFormat="1" applyFont="1" applyFill="1" applyBorder="1" applyAlignment="1">
      <alignment vertical="center"/>
    </xf>
    <xf numFmtId="169" fontId="10" fillId="0" borderId="23" xfId="0" applyNumberFormat="1" applyFont="1" applyFill="1" applyBorder="1" applyAlignment="1">
      <alignment/>
    </xf>
    <xf numFmtId="169" fontId="19" fillId="0" borderId="23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1" fontId="6" fillId="0" borderId="34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/>
    </xf>
    <xf numFmtId="3" fontId="7" fillId="33" borderId="36" xfId="0" applyNumberFormat="1" applyFont="1" applyFill="1" applyBorder="1" applyAlignment="1">
      <alignment vertical="center"/>
    </xf>
    <xf numFmtId="0" fontId="18" fillId="0" borderId="37" xfId="0" applyFont="1" applyBorder="1" applyAlignment="1">
      <alignment/>
    </xf>
    <xf numFmtId="0" fontId="10" fillId="0" borderId="38" xfId="0" applyFont="1" applyBorder="1" applyAlignment="1">
      <alignment/>
    </xf>
    <xf numFmtId="3" fontId="10" fillId="0" borderId="39" xfId="0" applyNumberFormat="1" applyFont="1" applyFill="1" applyBorder="1" applyAlignment="1">
      <alignment/>
    </xf>
    <xf numFmtId="1" fontId="10" fillId="0" borderId="24" xfId="0" applyNumberFormat="1" applyFont="1" applyFill="1" applyBorder="1" applyAlignment="1">
      <alignment/>
    </xf>
    <xf numFmtId="169" fontId="10" fillId="0" borderId="24" xfId="4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167" fontId="7" fillId="33" borderId="2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9" fontId="0" fillId="0" borderId="0" xfId="0" applyNumberFormat="1" applyAlignment="1">
      <alignment textRotation="180"/>
    </xf>
    <xf numFmtId="0" fontId="0" fillId="0" borderId="0" xfId="0" applyAlignment="1">
      <alignment horizontal="right" vertical="top" textRotation="180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 horizontal="right" vertical="top" textRotation="180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/>
    </xf>
    <xf numFmtId="0" fontId="0" fillId="35" borderId="15" xfId="0" applyFill="1" applyBorder="1" applyAlignment="1">
      <alignment horizontal="right" vertical="top" textRotation="180"/>
    </xf>
    <xf numFmtId="1" fontId="0" fillId="35" borderId="14" xfId="0" applyNumberFormat="1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37" borderId="39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37" borderId="17" xfId="0" applyFont="1" applyFill="1" applyBorder="1" applyAlignment="1">
      <alignment horizontal="center"/>
    </xf>
    <xf numFmtId="1" fontId="6" fillId="37" borderId="17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6" fillId="34" borderId="41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/>
    </xf>
    <xf numFmtId="3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6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25" fillId="0" borderId="0" xfId="56" applyFont="1">
      <alignment/>
      <protection/>
    </xf>
    <xf numFmtId="0" fontId="6" fillId="34" borderId="4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5" xfId="0" applyNumberFormat="1" applyFill="1" applyBorder="1" applyAlignment="1">
      <alignment/>
    </xf>
    <xf numFmtId="2" fontId="0" fillId="34" borderId="46" xfId="0" applyNumberFormat="1" applyFill="1" applyBorder="1" applyAlignment="1">
      <alignment horizontal="right" vertical="top" textRotation="180"/>
    </xf>
    <xf numFmtId="2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3" fontId="2" fillId="33" borderId="0" xfId="0" applyNumberFormat="1" applyFont="1" applyFill="1" applyBorder="1" applyAlignment="1">
      <alignment horizontal="left" indent="1"/>
    </xf>
    <xf numFmtId="16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47" xfId="0" applyFont="1" applyFill="1" applyBorder="1" applyAlignment="1">
      <alignment/>
    </xf>
    <xf numFmtId="1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11" fillId="0" borderId="14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0" fillId="0" borderId="4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0" fontId="6" fillId="0" borderId="49" xfId="0" applyFont="1" applyFill="1" applyBorder="1" applyAlignment="1">
      <alignment/>
    </xf>
    <xf numFmtId="164" fontId="6" fillId="0" borderId="5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69" fontId="10" fillId="0" borderId="42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textRotation="180"/>
    </xf>
    <xf numFmtId="0" fontId="0" fillId="0" borderId="0" xfId="0" applyFont="1" applyFill="1" applyAlignment="1">
      <alignment/>
    </xf>
    <xf numFmtId="0" fontId="0" fillId="13" borderId="14" xfId="0" applyFont="1" applyFill="1" applyBorder="1" applyAlignment="1">
      <alignment/>
    </xf>
    <xf numFmtId="1" fontId="0" fillId="13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12" borderId="14" xfId="0" applyFont="1" applyFill="1" applyBorder="1" applyAlignment="1">
      <alignment/>
    </xf>
    <xf numFmtId="1" fontId="2" fillId="12" borderId="14" xfId="0" applyNumberFormat="1" applyFont="1" applyFill="1" applyBorder="1" applyAlignment="1">
      <alignment/>
    </xf>
    <xf numFmtId="0" fontId="0" fillId="12" borderId="26" xfId="0" applyFont="1" applyFill="1" applyBorder="1" applyAlignment="1">
      <alignment horizontal="right" vertical="center" textRotation="180"/>
    </xf>
    <xf numFmtId="0" fontId="0" fillId="12" borderId="52" xfId="0" applyFont="1" applyFill="1" applyBorder="1" applyAlignment="1">
      <alignment/>
    </xf>
    <xf numFmtId="0" fontId="0" fillId="13" borderId="52" xfId="0" applyFont="1" applyFill="1" applyBorder="1" applyAlignment="1">
      <alignment/>
    </xf>
    <xf numFmtId="0" fontId="0" fillId="13" borderId="26" xfId="0" applyFont="1" applyFill="1" applyBorder="1" applyAlignment="1">
      <alignment horizontal="right" vertical="center" textRotation="180"/>
    </xf>
    <xf numFmtId="0" fontId="2" fillId="12" borderId="50" xfId="0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167" fontId="7" fillId="33" borderId="24" xfId="0" applyNumberFormat="1" applyFont="1" applyFill="1" applyBorder="1" applyAlignment="1">
      <alignment/>
    </xf>
    <xf numFmtId="167" fontId="7" fillId="33" borderId="2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11" fillId="0" borderId="15" xfId="40" applyNumberFormat="1" applyFont="1" applyFill="1" applyBorder="1" applyAlignment="1">
      <alignment/>
    </xf>
    <xf numFmtId="0" fontId="28" fillId="0" borderId="27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1" fontId="0" fillId="33" borderId="53" xfId="0" applyNumberFormat="1" applyFill="1" applyBorder="1" applyAlignment="1">
      <alignment/>
    </xf>
    <xf numFmtId="1" fontId="6" fillId="0" borderId="14" xfId="0" applyNumberFormat="1" applyFont="1" applyBorder="1" applyAlignment="1">
      <alignment horizontal="right"/>
    </xf>
    <xf numFmtId="167" fontId="7" fillId="33" borderId="49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9" fontId="11" fillId="0" borderId="54" xfId="40" applyNumberFormat="1" applyFont="1" applyFill="1" applyBorder="1" applyAlignment="1">
      <alignment/>
    </xf>
    <xf numFmtId="167" fontId="7" fillId="33" borderId="10" xfId="0" applyNumberFormat="1" applyFont="1" applyFill="1" applyBorder="1" applyAlignment="1">
      <alignment/>
    </xf>
    <xf numFmtId="0" fontId="0" fillId="0" borderId="0" xfId="43" applyFont="1" applyAlignment="1" applyProtection="1">
      <alignment/>
      <protection/>
    </xf>
    <xf numFmtId="0" fontId="0" fillId="13" borderId="14" xfId="0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169" fontId="10" fillId="0" borderId="49" xfId="0" applyNumberFormat="1" applyFont="1" applyFill="1" applyBorder="1" applyAlignment="1">
      <alignment/>
    </xf>
    <xf numFmtId="169" fontId="81" fillId="0" borderId="23" xfId="0" applyNumberFormat="1" applyFon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6" fillId="0" borderId="34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indent="1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48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iad_35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58"/>
          <c:w val="0.68775"/>
          <c:h val="0.90075"/>
        </c:manualLayout>
      </c:layout>
      <c:lineChart>
        <c:grouping val="standard"/>
        <c:varyColors val="0"/>
        <c:ser>
          <c:idx val="0"/>
          <c:order val="0"/>
          <c:tx>
            <c:v>BCE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elosztások!$B$3:$H$3</c:f>
              <c:numCache>
                <c:ptCount val="7"/>
                <c:pt idx="0">
                  <c:v>56</c:v>
                </c:pt>
                <c:pt idx="1">
                  <c:v>63</c:v>
                </c:pt>
                <c:pt idx="2">
                  <c:v>60</c:v>
                </c:pt>
                <c:pt idx="3">
                  <c:v>54</c:v>
                </c:pt>
                <c:pt idx="4">
                  <c:v>61</c:v>
                </c:pt>
                <c:pt idx="5">
                  <c:v>58</c:v>
                </c:pt>
                <c:pt idx="6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BME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elosztások!$B$4:$H$4</c:f>
              <c:numCache>
                <c:ptCount val="7"/>
                <c:pt idx="0">
                  <c:v>107</c:v>
                </c:pt>
                <c:pt idx="1">
                  <c:v>97</c:v>
                </c:pt>
                <c:pt idx="2">
                  <c:v>96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129</c:v>
                </c:pt>
              </c:numCache>
            </c:numRef>
          </c:val>
          <c:smooth val="0"/>
        </c:ser>
        <c:ser>
          <c:idx val="2"/>
          <c:order val="2"/>
          <c:tx>
            <c:v>DE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elosztások!$B$6:$H$6</c:f>
              <c:numCache>
                <c:ptCount val="7"/>
                <c:pt idx="0">
                  <c:v>123</c:v>
                </c:pt>
                <c:pt idx="1">
                  <c:v>125</c:v>
                </c:pt>
                <c:pt idx="2">
                  <c:v>123</c:v>
                </c:pt>
                <c:pt idx="3">
                  <c:v>136</c:v>
                </c:pt>
                <c:pt idx="4">
                  <c:v>143</c:v>
                </c:pt>
                <c:pt idx="5">
                  <c:v>132</c:v>
                </c:pt>
                <c:pt idx="6">
                  <c:v>178</c:v>
                </c:pt>
              </c:numCache>
            </c:numRef>
          </c:val>
          <c:smooth val="0"/>
        </c:ser>
        <c:ser>
          <c:idx val="3"/>
          <c:order val="3"/>
          <c:tx>
            <c:v>ELTE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elosztások!$B$9:$H$9</c:f>
              <c:numCache>
                <c:ptCount val="7"/>
              </c:numCache>
            </c:numRef>
          </c:val>
          <c:smooth val="0"/>
        </c:ser>
        <c:ser>
          <c:idx val="4"/>
          <c:order val="4"/>
          <c:tx>
            <c:v>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elosztások!$B$14:$H$14</c:f>
              <c:numCache>
                <c:ptCount val="7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v>PTE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elosztások!$B$21:$H$21</c:f>
              <c:numCache>
                <c:ptCount val="7"/>
                <c:pt idx="0">
                  <c:v>40</c:v>
                </c:pt>
                <c:pt idx="1">
                  <c:v>37</c:v>
                </c:pt>
                <c:pt idx="2">
                  <c:v>38</c:v>
                </c:pt>
                <c:pt idx="3">
                  <c:v>35</c:v>
                </c:pt>
                <c:pt idx="4">
                  <c:v>35</c:v>
                </c:pt>
                <c:pt idx="5">
                  <c:v>38</c:v>
                </c:pt>
                <c:pt idx="6">
                  <c:v>43</c:v>
                </c:pt>
              </c:numCache>
            </c:numRef>
          </c:val>
          <c:smooth val="0"/>
        </c:ser>
        <c:ser>
          <c:idx val="6"/>
          <c:order val="6"/>
          <c:tx>
            <c:v>SZTE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elosztások!$B$26:$H$26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v>SZIE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elosztások!$B$25:$H$25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</c:numCache>
            </c:numRef>
          </c:val>
          <c:smooth val="0"/>
        </c:ser>
        <c:ser>
          <c:idx val="8"/>
          <c:order val="8"/>
          <c:tx>
            <c:v>SE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elosztások!$B$22:$H$22</c:f>
              <c:numCache>
                <c:ptCount val="7"/>
                <c:pt idx="0">
                  <c:v>22</c:v>
                </c:pt>
                <c:pt idx="1">
                  <c:v>21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25</c:v>
                </c:pt>
              </c:numCache>
            </c:numRef>
          </c:val>
          <c:smooth val="0"/>
        </c:ser>
        <c:marker val="1"/>
        <c:axId val="53244089"/>
        <c:axId val="9434754"/>
      </c:lineChart>
      <c:catAx>
        <c:axId val="532440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34754"/>
        <c:crosses val="autoZero"/>
        <c:auto val="1"/>
        <c:lblOffset val="100"/>
        <c:tickLblSkip val="1"/>
        <c:noMultiLvlLbl val="0"/>
      </c:catAx>
      <c:valAx>
        <c:axId val="9434754"/>
        <c:scaling>
          <c:orientation val="minMax"/>
          <c:max val="2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244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321"/>
          <c:w val="0.1185"/>
          <c:h val="0.470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0.901</cdr:y>
    </cdr:from>
    <cdr:to>
      <cdr:x>0.87075</cdr:x>
      <cdr:y>0.9535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3524250"/>
          <a:ext cx="47720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2005     2006        2007      2008       2009       2010      2011</a:t>
          </a:r>
        </a:p>
      </cdr:txBody>
    </cdr:sp>
  </cdr:relSizeAnchor>
  <cdr:relSizeAnchor xmlns:cdr="http://schemas.openxmlformats.org/drawingml/2006/chartDrawing">
    <cdr:from>
      <cdr:x>0.09</cdr:x>
      <cdr:y>0.0165</cdr:y>
    </cdr:from>
    <cdr:to>
      <cdr:x>0.888</cdr:x>
      <cdr:y>0.06125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57150"/>
          <a:ext cx="5276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Állami ösztöndíjak száma az alapelosztás (981) szerint a nagyobb egyetemeken </a:t>
          </a:r>
        </a:p>
      </cdr:txBody>
    </cdr:sp>
  </cdr:relSizeAnchor>
  <cdr:relSizeAnchor xmlns:cdr="http://schemas.openxmlformats.org/drawingml/2006/chartDrawing">
    <cdr:from>
      <cdr:x>0.70725</cdr:x>
      <cdr:y>0.1235</cdr:y>
    </cdr:from>
    <cdr:to>
      <cdr:x>0.773</cdr:x>
      <cdr:y>0.17275</cdr:y>
    </cdr:to>
    <cdr:sp>
      <cdr:nvSpPr>
        <cdr:cNvPr id="3" name="Text Box 3"/>
        <cdr:cNvSpPr txBox="1">
          <a:spLocks noChangeArrowheads="1"/>
        </cdr:cNvSpPr>
      </cdr:nvSpPr>
      <cdr:spPr>
        <a:xfrm>
          <a:off x="4667250" y="476250"/>
          <a:ext cx="438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FFFF"/>
              </a:solidFill>
            </a:rPr>
            <a:t>ELTE</a:t>
          </a:r>
        </a:p>
      </cdr:txBody>
    </cdr:sp>
  </cdr:relSizeAnchor>
  <cdr:relSizeAnchor xmlns:cdr="http://schemas.openxmlformats.org/drawingml/2006/chartDrawing">
    <cdr:from>
      <cdr:x>0.7135</cdr:x>
      <cdr:y>0.325</cdr:y>
    </cdr:from>
    <cdr:to>
      <cdr:x>0.7615</cdr:x>
      <cdr:y>0.37275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12668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</a:rPr>
            <a:t>DE</a:t>
          </a:r>
        </a:p>
      </cdr:txBody>
    </cdr:sp>
  </cdr:relSizeAnchor>
  <cdr:relSizeAnchor xmlns:cdr="http://schemas.openxmlformats.org/drawingml/2006/chartDrawing">
    <cdr:from>
      <cdr:x>0.71025</cdr:x>
      <cdr:y>0.39575</cdr:y>
    </cdr:from>
    <cdr:to>
      <cdr:x>0.78625</cdr:x>
      <cdr:y>0.438</cdr:y>
    </cdr:to>
    <cdr:sp>
      <cdr:nvSpPr>
        <cdr:cNvPr id="5" name="Text Box 5"/>
        <cdr:cNvSpPr txBox="1">
          <a:spLocks noChangeArrowheads="1"/>
        </cdr:cNvSpPr>
      </cdr:nvSpPr>
      <cdr:spPr>
        <a:xfrm>
          <a:off x="4686300" y="154305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SZTE</a:t>
          </a:r>
        </a:p>
      </cdr:txBody>
    </cdr:sp>
  </cdr:relSizeAnchor>
  <cdr:relSizeAnchor xmlns:cdr="http://schemas.openxmlformats.org/drawingml/2006/chartDrawing">
    <cdr:from>
      <cdr:x>0.7235</cdr:x>
      <cdr:y>0.453</cdr:y>
    </cdr:from>
    <cdr:to>
      <cdr:x>0.78625</cdr:x>
      <cdr:y>0.51275</cdr:y>
    </cdr:to>
    <cdr:sp>
      <cdr:nvSpPr>
        <cdr:cNvPr id="6" name="Text Box 6"/>
        <cdr:cNvSpPr txBox="1">
          <a:spLocks noChangeArrowheads="1"/>
        </cdr:cNvSpPr>
      </cdr:nvSpPr>
      <cdr:spPr>
        <a:xfrm>
          <a:off x="4781550" y="1771650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</a:rPr>
            <a:t>PTE</a:t>
          </a:r>
        </a:p>
      </cdr:txBody>
    </cdr:sp>
  </cdr:relSizeAnchor>
  <cdr:relSizeAnchor xmlns:cdr="http://schemas.openxmlformats.org/drawingml/2006/chartDrawing">
    <cdr:from>
      <cdr:x>0.7235</cdr:x>
      <cdr:y>0.527</cdr:y>
    </cdr:from>
    <cdr:to>
      <cdr:x>0.78125</cdr:x>
      <cdr:y>0.5765</cdr:y>
    </cdr:to>
    <cdr:sp>
      <cdr:nvSpPr>
        <cdr:cNvPr id="7" name="Text Box 7"/>
        <cdr:cNvSpPr txBox="1">
          <a:spLocks noChangeArrowheads="1"/>
        </cdr:cNvSpPr>
      </cdr:nvSpPr>
      <cdr:spPr>
        <a:xfrm>
          <a:off x="4781550" y="205740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BME</a:t>
          </a:r>
        </a:p>
      </cdr:txBody>
    </cdr:sp>
  </cdr:relSizeAnchor>
  <cdr:relSizeAnchor xmlns:cdr="http://schemas.openxmlformats.org/drawingml/2006/chartDrawing">
    <cdr:from>
      <cdr:x>0.7235</cdr:x>
      <cdr:y>0.60425</cdr:y>
    </cdr:from>
    <cdr:to>
      <cdr:x>0.77875</cdr:x>
      <cdr:y>0.65375</cdr:y>
    </cdr:to>
    <cdr:sp>
      <cdr:nvSpPr>
        <cdr:cNvPr id="8" name="Text Box 8"/>
        <cdr:cNvSpPr txBox="1">
          <a:spLocks noChangeArrowheads="1"/>
        </cdr:cNvSpPr>
      </cdr:nvSpPr>
      <cdr:spPr>
        <a:xfrm>
          <a:off x="4781550" y="23622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BCE</a:t>
          </a:r>
        </a:p>
      </cdr:txBody>
    </cdr:sp>
  </cdr:relSizeAnchor>
  <cdr:relSizeAnchor xmlns:cdr="http://schemas.openxmlformats.org/drawingml/2006/chartDrawing">
    <cdr:from>
      <cdr:x>0.7235</cdr:x>
      <cdr:y>0.67675</cdr:y>
    </cdr:from>
    <cdr:to>
      <cdr:x>0.78125</cdr:x>
      <cdr:y>0.72675</cdr:y>
    </cdr:to>
    <cdr:sp>
      <cdr:nvSpPr>
        <cdr:cNvPr id="9" name="Text Box 9"/>
        <cdr:cNvSpPr txBox="1">
          <a:spLocks noChangeArrowheads="1"/>
        </cdr:cNvSpPr>
      </cdr:nvSpPr>
      <cdr:spPr>
        <a:xfrm>
          <a:off x="4781550" y="26479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SZIE</a:t>
          </a:r>
        </a:p>
      </cdr:txBody>
    </cdr:sp>
  </cdr:relSizeAnchor>
  <cdr:relSizeAnchor xmlns:cdr="http://schemas.openxmlformats.org/drawingml/2006/chartDrawing">
    <cdr:from>
      <cdr:x>0.73375</cdr:x>
      <cdr:y>0.7365</cdr:y>
    </cdr:from>
    <cdr:to>
      <cdr:x>0.77375</cdr:x>
      <cdr:y>0.7865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848225" y="287655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ME</a:t>
          </a:r>
        </a:p>
      </cdr:txBody>
    </cdr:sp>
  </cdr:relSizeAnchor>
  <cdr:relSizeAnchor xmlns:cdr="http://schemas.openxmlformats.org/drawingml/2006/chartDrawing">
    <cdr:from>
      <cdr:x>0.74</cdr:x>
      <cdr:y>0.57</cdr:y>
    </cdr:from>
    <cdr:to>
      <cdr:x>0.77625</cdr:x>
      <cdr:y>0.6195</cdr:y>
    </cdr:to>
    <cdr:sp>
      <cdr:nvSpPr>
        <cdr:cNvPr id="11" name="Text Box 11"/>
        <cdr:cNvSpPr txBox="1">
          <a:spLocks noChangeArrowheads="1"/>
        </cdr:cNvSpPr>
      </cdr:nvSpPr>
      <cdr:spPr>
        <a:xfrm>
          <a:off x="4886325" y="222885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</a:rPr>
            <a:t>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438150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0" y="47625"/>
        <a:ext cx="6610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30</xdr:row>
      <xdr:rowOff>66675</xdr:rowOff>
    </xdr:from>
    <xdr:to>
      <xdr:col>8</xdr:col>
      <xdr:colOff>85725</xdr:colOff>
      <xdr:row>30</xdr:row>
      <xdr:rowOff>152400</xdr:rowOff>
    </xdr:to>
    <xdr:sp>
      <xdr:nvSpPr>
        <xdr:cNvPr id="1" name="Line 8"/>
        <xdr:cNvSpPr>
          <a:spLocks/>
        </xdr:cNvSpPr>
      </xdr:nvSpPr>
      <xdr:spPr>
        <a:xfrm flipH="1" flipV="1">
          <a:off x="2847975" y="4953000"/>
          <a:ext cx="609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9525</xdr:rowOff>
    </xdr:from>
    <xdr:to>
      <xdr:col>8</xdr:col>
      <xdr:colOff>238125</xdr:colOff>
      <xdr:row>31</xdr:row>
      <xdr:rowOff>9525</xdr:rowOff>
    </xdr:to>
    <xdr:sp>
      <xdr:nvSpPr>
        <xdr:cNvPr id="2" name="Line 9"/>
        <xdr:cNvSpPr>
          <a:spLocks/>
        </xdr:cNvSpPr>
      </xdr:nvSpPr>
      <xdr:spPr>
        <a:xfrm flipH="1" flipV="1">
          <a:off x="3600450" y="48958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190500</xdr:colOff>
      <xdr:row>30</xdr:row>
      <xdr:rowOff>47625</xdr:rowOff>
    </xdr:from>
    <xdr:to>
      <xdr:col>11</xdr:col>
      <xdr:colOff>57150</xdr:colOff>
      <xdr:row>30</xdr:row>
      <xdr:rowOff>142875</xdr:rowOff>
    </xdr:to>
    <xdr:sp>
      <xdr:nvSpPr>
        <xdr:cNvPr id="3" name="Line 10"/>
        <xdr:cNvSpPr>
          <a:spLocks/>
        </xdr:cNvSpPr>
      </xdr:nvSpPr>
      <xdr:spPr>
        <a:xfrm flipV="1">
          <a:off x="3962400" y="4933950"/>
          <a:ext cx="695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29</xdr:row>
      <xdr:rowOff>57150</xdr:rowOff>
    </xdr:from>
    <xdr:to>
      <xdr:col>2</xdr:col>
      <xdr:colOff>171450</xdr:colOff>
      <xdr:row>30</xdr:row>
      <xdr:rowOff>104775</xdr:rowOff>
    </xdr:to>
    <xdr:sp>
      <xdr:nvSpPr>
        <xdr:cNvPr id="4" name="Line 11"/>
        <xdr:cNvSpPr>
          <a:spLocks/>
        </xdr:cNvSpPr>
      </xdr:nvSpPr>
      <xdr:spPr>
        <a:xfrm flipV="1">
          <a:off x="1000125" y="4781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60</xdr:row>
      <xdr:rowOff>85725</xdr:rowOff>
    </xdr:from>
    <xdr:to>
      <xdr:col>3</xdr:col>
      <xdr:colOff>390525</xdr:colOff>
      <xdr:row>61</xdr:row>
      <xdr:rowOff>133350</xdr:rowOff>
    </xdr:to>
    <xdr:sp>
      <xdr:nvSpPr>
        <xdr:cNvPr id="1" name="Line 23"/>
        <xdr:cNvSpPr>
          <a:spLocks/>
        </xdr:cNvSpPr>
      </xdr:nvSpPr>
      <xdr:spPr>
        <a:xfrm flipV="1">
          <a:off x="2409825" y="9963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60</xdr:row>
      <xdr:rowOff>85725</xdr:rowOff>
    </xdr:from>
    <xdr:to>
      <xdr:col>3</xdr:col>
      <xdr:colOff>390525</xdr:colOff>
      <xdr:row>61</xdr:row>
      <xdr:rowOff>133350</xdr:rowOff>
    </xdr:to>
    <xdr:sp>
      <xdr:nvSpPr>
        <xdr:cNvPr id="2" name="Line 24"/>
        <xdr:cNvSpPr>
          <a:spLocks/>
        </xdr:cNvSpPr>
      </xdr:nvSpPr>
      <xdr:spPr>
        <a:xfrm flipV="1">
          <a:off x="2409825" y="9963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</xdr:row>
      <xdr:rowOff>104775</xdr:rowOff>
    </xdr:from>
    <xdr:to>
      <xdr:col>2</xdr:col>
      <xdr:colOff>533400</xdr:colOff>
      <xdr:row>33</xdr:row>
      <xdr:rowOff>9525</xdr:rowOff>
    </xdr:to>
    <xdr:sp>
      <xdr:nvSpPr>
        <xdr:cNvPr id="3" name="Line 25"/>
        <xdr:cNvSpPr>
          <a:spLocks/>
        </xdr:cNvSpPr>
      </xdr:nvSpPr>
      <xdr:spPr>
        <a:xfrm flipV="1">
          <a:off x="1152525" y="400050"/>
          <a:ext cx="733425" cy="5114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b.okm.gov.hu/statisztika/fs08_fm/" TargetMode="External" /><Relationship Id="rId2" Type="http://schemas.openxmlformats.org/officeDocument/2006/relationships/hyperlink" Target="http://db.nefmi.gov.hu/statisztika/fs09_fm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oktori.hu/" TargetMode="External" /><Relationship Id="rId2" Type="http://schemas.openxmlformats.org/officeDocument/2006/relationships/hyperlink" Target="http://db.okm.gov.hu/statisztika/fs08_fm/" TargetMode="External" /><Relationship Id="rId3" Type="http://schemas.openxmlformats.org/officeDocument/2006/relationships/hyperlink" Target="http://db.nefmi.gov.hu/statisztika/fs09_fm/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oktori.hu/index.php?menuid=109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P39" sqref="P39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4" width="6.00390625" style="0" customWidth="1"/>
    <col min="5" max="5" width="5.625" style="0" customWidth="1"/>
    <col min="6" max="8" width="6.125" style="0" customWidth="1"/>
    <col min="9" max="9" width="5.75390625" style="0" bestFit="1" customWidth="1"/>
    <col min="10" max="10" width="5.75390625" style="249" customWidth="1"/>
    <col min="13" max="13" width="11.625" style="0" customWidth="1"/>
  </cols>
  <sheetData>
    <row r="1" spans="6:14" ht="12.75">
      <c r="F1" s="9"/>
      <c r="G1" s="9"/>
      <c r="H1" s="9"/>
      <c r="K1" s="9"/>
      <c r="L1" s="9"/>
      <c r="M1" s="9"/>
      <c r="N1" s="9"/>
    </row>
    <row r="2" spans="1:11" ht="12.75">
      <c r="A2" s="1" t="s">
        <v>20</v>
      </c>
      <c r="B2" s="95">
        <v>2005</v>
      </c>
      <c r="C2" s="94">
        <v>2006</v>
      </c>
      <c r="D2" s="95">
        <v>2007</v>
      </c>
      <c r="E2" s="94">
        <v>2008</v>
      </c>
      <c r="F2" s="97">
        <v>2009</v>
      </c>
      <c r="G2" s="97">
        <v>2010</v>
      </c>
      <c r="H2" s="154">
        <v>2011</v>
      </c>
      <c r="I2" s="222">
        <v>2012</v>
      </c>
      <c r="J2" s="250"/>
      <c r="K2" s="22"/>
    </row>
    <row r="3" spans="1:14" ht="12.75">
      <c r="A3" s="1" t="s">
        <v>0</v>
      </c>
      <c r="B3" s="96">
        <v>56</v>
      </c>
      <c r="C3" s="82">
        <v>63</v>
      </c>
      <c r="D3" s="96">
        <v>60</v>
      </c>
      <c r="E3" s="82">
        <v>54</v>
      </c>
      <c r="F3" s="98">
        <v>61</v>
      </c>
      <c r="G3" s="98">
        <v>58</v>
      </c>
      <c r="H3" s="155">
        <v>70</v>
      </c>
      <c r="I3" s="138">
        <f>számítás!Q3</f>
        <v>66</v>
      </c>
      <c r="J3" s="251"/>
      <c r="K3" s="91" t="s">
        <v>62</v>
      </c>
      <c r="L3" s="92"/>
      <c r="M3" s="92"/>
      <c r="N3" s="10"/>
    </row>
    <row r="4" spans="1:14" ht="12.75">
      <c r="A4" s="1" t="s">
        <v>1</v>
      </c>
      <c r="B4" s="96">
        <v>107</v>
      </c>
      <c r="C4" s="82">
        <v>97</v>
      </c>
      <c r="D4" s="96">
        <v>96</v>
      </c>
      <c r="E4" s="82">
        <v>95</v>
      </c>
      <c r="F4" s="98">
        <v>96</v>
      </c>
      <c r="G4" s="98">
        <v>96</v>
      </c>
      <c r="H4" s="155">
        <v>129</v>
      </c>
      <c r="I4" s="138">
        <f>számítás!Q4</f>
        <v>129</v>
      </c>
      <c r="J4" s="251"/>
      <c r="K4" s="91" t="s">
        <v>83</v>
      </c>
      <c r="L4" s="92"/>
      <c r="M4" s="92"/>
      <c r="N4" s="10"/>
    </row>
    <row r="5" spans="1:14" ht="12.75">
      <c r="A5" s="1" t="s">
        <v>23</v>
      </c>
      <c r="B5" s="96">
        <v>0</v>
      </c>
      <c r="C5" s="82">
        <v>0</v>
      </c>
      <c r="D5" s="96">
        <v>0</v>
      </c>
      <c r="E5" s="82">
        <v>3</v>
      </c>
      <c r="F5" s="98">
        <v>3</v>
      </c>
      <c r="G5" s="98">
        <v>3</v>
      </c>
      <c r="H5" s="155">
        <v>3</v>
      </c>
      <c r="I5" s="138">
        <f>számítás!Q5</f>
        <v>3</v>
      </c>
      <c r="J5" s="251"/>
      <c r="K5" s="91" t="s">
        <v>63</v>
      </c>
      <c r="L5" s="92"/>
      <c r="M5" s="92"/>
      <c r="N5" s="10"/>
    </row>
    <row r="6" spans="1:14" ht="12.75">
      <c r="A6" s="1" t="s">
        <v>2</v>
      </c>
      <c r="B6" s="96">
        <v>123</v>
      </c>
      <c r="C6" s="82">
        <v>125</v>
      </c>
      <c r="D6" s="96">
        <v>123</v>
      </c>
      <c r="E6" s="82">
        <v>136</v>
      </c>
      <c r="F6" s="98">
        <v>143</v>
      </c>
      <c r="G6" s="98">
        <v>132</v>
      </c>
      <c r="H6" s="155">
        <v>178</v>
      </c>
      <c r="I6" s="138">
        <f>számítás!Q6</f>
        <v>167</v>
      </c>
      <c r="J6" s="251"/>
      <c r="K6" s="91" t="s">
        <v>114</v>
      </c>
      <c r="L6" s="92"/>
      <c r="M6" s="92"/>
      <c r="N6" s="10"/>
    </row>
    <row r="7" spans="1:14" ht="12.75">
      <c r="A7" s="1" t="s">
        <v>3</v>
      </c>
      <c r="B7" s="96">
        <v>3</v>
      </c>
      <c r="C7" s="82">
        <v>3</v>
      </c>
      <c r="D7" s="96">
        <v>3</v>
      </c>
      <c r="E7" s="82">
        <v>3</v>
      </c>
      <c r="F7" s="98">
        <v>3</v>
      </c>
      <c r="G7" s="98">
        <v>3</v>
      </c>
      <c r="H7" s="155">
        <v>3</v>
      </c>
      <c r="I7" s="138">
        <f>számítás!Q7</f>
        <v>3</v>
      </c>
      <c r="J7" s="251"/>
      <c r="K7" s="91" t="s">
        <v>64</v>
      </c>
      <c r="L7" s="92"/>
      <c r="M7" s="92"/>
      <c r="N7" s="10"/>
    </row>
    <row r="8" spans="1:14" ht="12.75">
      <c r="A8" s="1" t="s">
        <v>5</v>
      </c>
      <c r="B8" s="96">
        <v>3</v>
      </c>
      <c r="C8" s="82">
        <v>3</v>
      </c>
      <c r="D8" s="96">
        <v>3</v>
      </c>
      <c r="E8" s="82">
        <v>3</v>
      </c>
      <c r="F8" s="98">
        <v>3</v>
      </c>
      <c r="G8" s="98">
        <v>3</v>
      </c>
      <c r="H8" s="155">
        <v>3</v>
      </c>
      <c r="I8" s="138">
        <f>számítás!Q8</f>
        <v>2</v>
      </c>
      <c r="J8" s="251"/>
      <c r="K8" s="91" t="s">
        <v>65</v>
      </c>
      <c r="L8" s="92"/>
      <c r="M8" s="92"/>
      <c r="N8" s="10"/>
    </row>
    <row r="9" spans="1:14" ht="12.75">
      <c r="A9" s="1" t="s">
        <v>100</v>
      </c>
      <c r="B9" s="96"/>
      <c r="C9" s="82"/>
      <c r="D9" s="96"/>
      <c r="E9" s="82"/>
      <c r="F9" s="98"/>
      <c r="G9" s="98"/>
      <c r="H9" s="155"/>
      <c r="I9" s="138">
        <f>számítás!Q9</f>
        <v>7</v>
      </c>
      <c r="J9" s="251"/>
      <c r="K9" s="91" t="s">
        <v>101</v>
      </c>
      <c r="L9" s="92"/>
      <c r="M9" s="92"/>
      <c r="N9" s="10"/>
    </row>
    <row r="10" spans="1:14" ht="12.75">
      <c r="A10" s="1" t="s">
        <v>4</v>
      </c>
      <c r="B10" s="96">
        <v>192</v>
      </c>
      <c r="C10" s="82">
        <v>197</v>
      </c>
      <c r="D10" s="96">
        <v>206</v>
      </c>
      <c r="E10" s="82">
        <v>195</v>
      </c>
      <c r="F10" s="98">
        <v>185</v>
      </c>
      <c r="G10" s="98">
        <v>175</v>
      </c>
      <c r="H10" s="155">
        <v>243</v>
      </c>
      <c r="I10" s="138">
        <f>számítás!Q10</f>
        <v>242</v>
      </c>
      <c r="J10" s="251"/>
      <c r="K10" s="91" t="s">
        <v>84</v>
      </c>
      <c r="L10" s="92"/>
      <c r="M10" s="92"/>
      <c r="N10" s="10"/>
    </row>
    <row r="11" spans="1:14" ht="12.75">
      <c r="A11" s="1" t="s">
        <v>6</v>
      </c>
      <c r="B11" s="96">
        <v>10</v>
      </c>
      <c r="C11" s="82">
        <v>9</v>
      </c>
      <c r="D11" s="96">
        <v>7</v>
      </c>
      <c r="E11" s="82">
        <v>8</v>
      </c>
      <c r="F11" s="98">
        <v>9</v>
      </c>
      <c r="G11" s="98">
        <v>10</v>
      </c>
      <c r="H11" s="155">
        <v>13</v>
      </c>
      <c r="I11" s="138">
        <f>számítás!Q11</f>
        <v>13</v>
      </c>
      <c r="J11" s="251"/>
      <c r="K11" s="91" t="s">
        <v>66</v>
      </c>
      <c r="L11" s="92"/>
      <c r="M11" s="92"/>
      <c r="N11" s="10"/>
    </row>
    <row r="12" spans="1:14" s="162" customFormat="1" ht="12.75">
      <c r="A12" s="1" t="s">
        <v>24</v>
      </c>
      <c r="B12" s="96">
        <v>0</v>
      </c>
      <c r="C12" s="82">
        <v>4</v>
      </c>
      <c r="D12" s="96">
        <v>3</v>
      </c>
      <c r="E12" s="82">
        <v>3</v>
      </c>
      <c r="F12" s="98">
        <v>4</v>
      </c>
      <c r="G12" s="98">
        <v>5</v>
      </c>
      <c r="H12" s="155">
        <v>7</v>
      </c>
      <c r="I12" s="138">
        <f>számítás!Q12</f>
        <v>7</v>
      </c>
      <c r="J12" s="251"/>
      <c r="K12" s="91" t="s">
        <v>67</v>
      </c>
      <c r="L12" s="92"/>
      <c r="M12" s="92"/>
      <c r="N12" s="10"/>
    </row>
    <row r="13" spans="1:14" ht="12.75">
      <c r="A13" s="1" t="s">
        <v>25</v>
      </c>
      <c r="B13" s="156">
        <v>7</v>
      </c>
      <c r="C13" s="157">
        <v>8</v>
      </c>
      <c r="D13" s="156">
        <v>10</v>
      </c>
      <c r="E13" s="157">
        <v>9</v>
      </c>
      <c r="F13" s="158">
        <v>8</v>
      </c>
      <c r="G13" s="158">
        <v>9</v>
      </c>
      <c r="H13" s="159">
        <v>1</v>
      </c>
      <c r="I13" s="138">
        <v>4</v>
      </c>
      <c r="J13" s="253"/>
      <c r="K13" s="91" t="s">
        <v>68</v>
      </c>
      <c r="L13" s="160"/>
      <c r="M13" s="160"/>
      <c r="N13" s="161"/>
    </row>
    <row r="14" spans="1:14" ht="12.75">
      <c r="A14" s="1" t="s">
        <v>7</v>
      </c>
      <c r="B14" s="96">
        <v>9</v>
      </c>
      <c r="C14" s="82">
        <v>11</v>
      </c>
      <c r="D14" s="96">
        <v>10</v>
      </c>
      <c r="E14" s="82">
        <v>9</v>
      </c>
      <c r="F14" s="98">
        <v>10</v>
      </c>
      <c r="G14" s="98">
        <v>12</v>
      </c>
      <c r="H14" s="155">
        <v>12</v>
      </c>
      <c r="I14" s="138">
        <f>számítás!Q14</f>
        <v>11</v>
      </c>
      <c r="J14" s="251"/>
      <c r="K14" s="91" t="s">
        <v>85</v>
      </c>
      <c r="L14" s="92"/>
      <c r="M14" s="92"/>
      <c r="N14" s="10"/>
    </row>
    <row r="15" spans="1:14" ht="12.75">
      <c r="A15" s="1" t="s">
        <v>9</v>
      </c>
      <c r="B15" s="96">
        <v>39</v>
      </c>
      <c r="C15" s="82">
        <v>37</v>
      </c>
      <c r="D15" s="96">
        <v>36</v>
      </c>
      <c r="E15" s="82">
        <v>36</v>
      </c>
      <c r="F15" s="98">
        <v>31</v>
      </c>
      <c r="G15" s="98">
        <v>35</v>
      </c>
      <c r="H15" s="155">
        <v>46</v>
      </c>
      <c r="I15" s="138">
        <f>számítás!Q15</f>
        <v>43</v>
      </c>
      <c r="J15" s="251"/>
      <c r="K15" s="91" t="s">
        <v>69</v>
      </c>
      <c r="L15" s="92"/>
      <c r="M15" s="92"/>
      <c r="N15" s="10"/>
    </row>
    <row r="16" spans="1:14" ht="12.75">
      <c r="A16" s="1" t="s">
        <v>8</v>
      </c>
      <c r="B16" s="96">
        <v>4</v>
      </c>
      <c r="C16" s="82">
        <v>4</v>
      </c>
      <c r="D16" s="96">
        <v>4</v>
      </c>
      <c r="E16" s="82">
        <v>4</v>
      </c>
      <c r="F16" s="98">
        <v>4</v>
      </c>
      <c r="G16" s="98">
        <v>5</v>
      </c>
      <c r="H16" s="155">
        <v>7</v>
      </c>
      <c r="I16" s="138">
        <f>számítás!Q16</f>
        <v>6</v>
      </c>
      <c r="J16" s="251"/>
      <c r="K16" s="93" t="s">
        <v>70</v>
      </c>
      <c r="L16" s="92"/>
      <c r="M16" s="92"/>
      <c r="N16" s="10"/>
    </row>
    <row r="17" spans="1:14" ht="12.75">
      <c r="A17" s="1" t="s">
        <v>22</v>
      </c>
      <c r="B17" s="96">
        <v>5</v>
      </c>
      <c r="C17" s="82">
        <v>7</v>
      </c>
      <c r="D17" s="96">
        <v>5</v>
      </c>
      <c r="E17" s="82">
        <v>5</v>
      </c>
      <c r="F17" s="98">
        <v>4</v>
      </c>
      <c r="G17" s="98">
        <v>5</v>
      </c>
      <c r="H17" s="155">
        <v>7</v>
      </c>
      <c r="I17" s="138">
        <f>számítás!Q17</f>
        <v>7</v>
      </c>
      <c r="J17" s="251"/>
      <c r="K17" s="91" t="s">
        <v>71</v>
      </c>
      <c r="L17" s="92"/>
      <c r="M17" s="92"/>
      <c r="N17" s="10"/>
    </row>
    <row r="18" spans="1:14" ht="12.75">
      <c r="A18" s="1" t="s">
        <v>10</v>
      </c>
      <c r="B18" s="96">
        <v>22</v>
      </c>
      <c r="C18" s="82">
        <v>22</v>
      </c>
      <c r="D18" s="96">
        <v>22</v>
      </c>
      <c r="E18" s="82">
        <v>25</v>
      </c>
      <c r="F18" s="98">
        <v>25</v>
      </c>
      <c r="G18" s="98">
        <v>28</v>
      </c>
      <c r="H18" s="155">
        <v>33</v>
      </c>
      <c r="I18" s="138">
        <f>számítás!Q18</f>
        <v>32</v>
      </c>
      <c r="J18" s="251"/>
      <c r="K18" s="91" t="s">
        <v>72</v>
      </c>
      <c r="L18" s="92"/>
      <c r="M18" s="92"/>
      <c r="N18" s="10"/>
    </row>
    <row r="19" spans="1:14" ht="12.75">
      <c r="A19" s="1" t="s">
        <v>99</v>
      </c>
      <c r="B19" s="145"/>
      <c r="C19" s="146"/>
      <c r="D19" s="145"/>
      <c r="E19" s="146"/>
      <c r="F19" s="98"/>
      <c r="G19" s="98">
        <v>3</v>
      </c>
      <c r="H19" s="155">
        <v>3</v>
      </c>
      <c r="I19" s="138">
        <f>számítás!Q19</f>
        <v>6</v>
      </c>
      <c r="J19" s="251"/>
      <c r="K19" s="91" t="s">
        <v>98</v>
      </c>
      <c r="L19" s="147"/>
      <c r="M19" s="147"/>
      <c r="N19" s="148"/>
    </row>
    <row r="20" spans="1:14" ht="12.75">
      <c r="A20" s="1" t="s">
        <v>26</v>
      </c>
      <c r="B20" s="96">
        <v>3</v>
      </c>
      <c r="C20" s="82">
        <v>3</v>
      </c>
      <c r="D20" s="96">
        <v>3</v>
      </c>
      <c r="E20" s="82">
        <v>3</v>
      </c>
      <c r="F20" s="98">
        <v>3</v>
      </c>
      <c r="G20" s="98">
        <v>3</v>
      </c>
      <c r="H20" s="155">
        <v>3</v>
      </c>
      <c r="I20" s="138">
        <f>számítás!Q20</f>
        <v>2</v>
      </c>
      <c r="J20" s="251"/>
      <c r="K20" s="91" t="s">
        <v>73</v>
      </c>
      <c r="L20" s="92"/>
      <c r="M20" s="92"/>
      <c r="N20" s="10"/>
    </row>
    <row r="21" spans="1:14" ht="12.75">
      <c r="A21" s="1" t="s">
        <v>19</v>
      </c>
      <c r="B21" s="96">
        <v>40</v>
      </c>
      <c r="C21" s="82">
        <v>37</v>
      </c>
      <c r="D21" s="96">
        <v>38</v>
      </c>
      <c r="E21" s="82">
        <v>35</v>
      </c>
      <c r="F21" s="98">
        <v>35</v>
      </c>
      <c r="G21" s="98">
        <v>38</v>
      </c>
      <c r="H21" s="155">
        <v>43</v>
      </c>
      <c r="I21" s="138">
        <f>számítás!Q21</f>
        <v>41</v>
      </c>
      <c r="J21" s="251"/>
      <c r="K21" s="91" t="s">
        <v>74</v>
      </c>
      <c r="L21" s="92"/>
      <c r="M21" s="92"/>
      <c r="N21" s="10"/>
    </row>
    <row r="22" spans="1:14" ht="12.75">
      <c r="A22" s="1" t="s">
        <v>12</v>
      </c>
      <c r="B22" s="96">
        <v>22</v>
      </c>
      <c r="C22" s="82">
        <v>21</v>
      </c>
      <c r="D22" s="96">
        <v>22</v>
      </c>
      <c r="E22" s="82">
        <v>20</v>
      </c>
      <c r="F22" s="98">
        <v>18</v>
      </c>
      <c r="G22" s="98">
        <v>20</v>
      </c>
      <c r="H22" s="155">
        <v>25</v>
      </c>
      <c r="I22" s="138">
        <f>számítás!Q22</f>
        <v>31</v>
      </c>
      <c r="J22" s="251"/>
      <c r="K22" s="91" t="s">
        <v>75</v>
      </c>
      <c r="L22" s="92"/>
      <c r="M22" s="92"/>
      <c r="N22" s="10"/>
    </row>
    <row r="23" spans="1:14" ht="12.75">
      <c r="A23" s="1" t="s">
        <v>13</v>
      </c>
      <c r="B23" s="96">
        <v>75</v>
      </c>
      <c r="C23" s="82">
        <v>84</v>
      </c>
      <c r="D23" s="96">
        <v>82</v>
      </c>
      <c r="E23" s="82">
        <v>94</v>
      </c>
      <c r="F23" s="98">
        <v>85</v>
      </c>
      <c r="G23" s="98">
        <v>97</v>
      </c>
      <c r="H23" s="155">
        <v>123</v>
      </c>
      <c r="I23" s="138">
        <f>számítás!Q23</f>
        <v>125</v>
      </c>
      <c r="J23" s="253" t="s">
        <v>120</v>
      </c>
      <c r="K23" s="91" t="s">
        <v>76</v>
      </c>
      <c r="L23" s="92"/>
      <c r="M23" s="92"/>
      <c r="N23" s="10"/>
    </row>
    <row r="24" spans="1:15" ht="12.75">
      <c r="A24" s="1" t="s">
        <v>14</v>
      </c>
      <c r="B24" s="96">
        <v>73</v>
      </c>
      <c r="C24" s="82">
        <v>67</v>
      </c>
      <c r="D24" s="96">
        <v>64</v>
      </c>
      <c r="E24" s="82">
        <v>73</v>
      </c>
      <c r="F24" s="98">
        <v>79</v>
      </c>
      <c r="G24" s="98">
        <v>75</v>
      </c>
      <c r="H24" s="155">
        <v>98</v>
      </c>
      <c r="I24" s="138">
        <f>számítás!Q24</f>
        <v>102</v>
      </c>
      <c r="J24" s="251"/>
      <c r="K24" s="91" t="s">
        <v>77</v>
      </c>
      <c r="L24" s="92"/>
      <c r="M24" s="92"/>
      <c r="N24" s="10"/>
      <c r="O24" s="248" t="s">
        <v>121</v>
      </c>
    </row>
    <row r="25" spans="1:14" ht="12.75">
      <c r="A25" s="1" t="s">
        <v>15</v>
      </c>
      <c r="B25" s="96">
        <v>6</v>
      </c>
      <c r="C25" s="82">
        <v>6</v>
      </c>
      <c r="D25" s="96">
        <v>7</v>
      </c>
      <c r="E25" s="82">
        <v>7</v>
      </c>
      <c r="F25" s="98">
        <v>8</v>
      </c>
      <c r="G25" s="98">
        <v>9</v>
      </c>
      <c r="H25" s="155">
        <v>11</v>
      </c>
      <c r="I25" s="138">
        <f>számítás!Q25</f>
        <v>16</v>
      </c>
      <c r="J25" s="251"/>
      <c r="K25" s="91" t="s">
        <v>78</v>
      </c>
      <c r="L25" s="92"/>
      <c r="M25" s="92"/>
      <c r="N25" s="10"/>
    </row>
    <row r="26" spans="1:14" ht="12.75">
      <c r="A26" s="1" t="s">
        <v>18</v>
      </c>
      <c r="B26" s="96">
        <v>6</v>
      </c>
      <c r="C26" s="82">
        <v>6</v>
      </c>
      <c r="D26" s="96">
        <v>5</v>
      </c>
      <c r="E26" s="82">
        <v>5</v>
      </c>
      <c r="F26" s="98">
        <v>4</v>
      </c>
      <c r="G26" s="98">
        <v>4</v>
      </c>
      <c r="H26" s="155">
        <v>5</v>
      </c>
      <c r="I26" s="138">
        <f>számítás!Q26</f>
        <v>4</v>
      </c>
      <c r="J26" s="251"/>
      <c r="K26" s="91" t="s">
        <v>79</v>
      </c>
      <c r="L26" s="92"/>
      <c r="M26" s="92"/>
      <c r="N26" s="10"/>
    </row>
    <row r="27" spans="1:14" s="149" customFormat="1" ht="12.75">
      <c r="A27" s="1" t="s">
        <v>17</v>
      </c>
      <c r="B27" s="96">
        <v>40</v>
      </c>
      <c r="C27" s="82">
        <v>39</v>
      </c>
      <c r="D27" s="96">
        <v>35</v>
      </c>
      <c r="E27" s="82">
        <v>40</v>
      </c>
      <c r="F27" s="98">
        <v>44</v>
      </c>
      <c r="G27" s="98">
        <v>39</v>
      </c>
      <c r="H27" s="155">
        <v>49</v>
      </c>
      <c r="I27" s="138">
        <f>számítás!Q27</f>
        <v>50</v>
      </c>
      <c r="J27" s="251"/>
      <c r="K27" s="91" t="s">
        <v>80</v>
      </c>
      <c r="L27" s="92"/>
      <c r="M27" s="92"/>
      <c r="N27" s="10"/>
    </row>
    <row r="28" spans="1:14" s="149" customFormat="1" ht="12.75">
      <c r="A28" s="1" t="s">
        <v>16</v>
      </c>
      <c r="B28" s="96">
        <v>105</v>
      </c>
      <c r="C28" s="82">
        <v>97</v>
      </c>
      <c r="D28" s="96">
        <v>106</v>
      </c>
      <c r="E28" s="82">
        <v>116</v>
      </c>
      <c r="F28" s="98">
        <v>116</v>
      </c>
      <c r="G28" s="98">
        <v>114</v>
      </c>
      <c r="H28" s="155">
        <v>155</v>
      </c>
      <c r="I28" s="138">
        <f>számítás!Q28</f>
        <v>156</v>
      </c>
      <c r="J28" s="251"/>
      <c r="K28" s="91" t="s">
        <v>81</v>
      </c>
      <c r="L28" s="92"/>
      <c r="M28" s="92"/>
      <c r="N28" s="10"/>
    </row>
    <row r="29" spans="1:14" ht="12.75">
      <c r="A29" s="1" t="s">
        <v>119</v>
      </c>
      <c r="B29" s="145"/>
      <c r="C29" s="146"/>
      <c r="D29" s="145"/>
      <c r="E29" s="146"/>
      <c r="F29" s="98"/>
      <c r="G29" s="98"/>
      <c r="H29" s="155">
        <v>0</v>
      </c>
      <c r="I29" s="138">
        <f>számítás!Q29</f>
        <v>14</v>
      </c>
      <c r="J29" s="251"/>
      <c r="K29" s="91" t="s">
        <v>82</v>
      </c>
      <c r="L29" s="147"/>
      <c r="M29" s="147"/>
      <c r="N29" s="148"/>
    </row>
    <row r="30" spans="1:14" ht="12.75">
      <c r="A30" s="1" t="s">
        <v>21</v>
      </c>
      <c r="B30" s="1">
        <f>SUM(B3:B26)</f>
        <v>805</v>
      </c>
      <c r="C30" s="1">
        <f>SUM(C3:C26)</f>
        <v>814</v>
      </c>
      <c r="D30" s="1">
        <f>SUM(D3:D26)</f>
        <v>809</v>
      </c>
      <c r="E30" s="1">
        <f>SUM(E3:E26)</f>
        <v>825</v>
      </c>
      <c r="F30" s="11">
        <f>SUM(F3:F26)</f>
        <v>821</v>
      </c>
      <c r="G30" s="11">
        <f>SUM(G3:G29)</f>
        <v>981</v>
      </c>
      <c r="H30" s="11">
        <f>SUM(H3:H29)</f>
        <v>1270</v>
      </c>
      <c r="I30" s="90">
        <f>SUM(I3:I29)+J23</f>
        <v>1290</v>
      </c>
      <c r="J30" s="252"/>
      <c r="K30" s="11"/>
      <c r="L30" s="10"/>
      <c r="M30" s="11"/>
      <c r="N30" s="11"/>
    </row>
    <row r="31" spans="1:14" ht="12.75">
      <c r="A31" s="1"/>
      <c r="B31" s="1"/>
      <c r="C31" s="1"/>
      <c r="D31" s="1"/>
      <c r="E31" s="1"/>
      <c r="F31" s="11"/>
      <c r="G31" s="11"/>
      <c r="H31" s="11"/>
      <c r="I31" s="36"/>
      <c r="J31" s="36"/>
      <c r="K31" s="11"/>
      <c r="L31" s="10"/>
      <c r="M31" s="11"/>
      <c r="N31" s="11"/>
    </row>
    <row r="32" spans="9:10" ht="12.75">
      <c r="I32" s="88"/>
      <c r="J32" s="88"/>
    </row>
    <row r="33" spans="1:10" ht="12.75">
      <c r="A33" s="22"/>
      <c r="B33" s="108"/>
      <c r="C33" s="108"/>
      <c r="D33" s="108"/>
      <c r="E33" s="108"/>
      <c r="F33" s="108"/>
      <c r="G33" s="108"/>
      <c r="H33" s="108"/>
      <c r="I33" s="89"/>
      <c r="J33" s="89"/>
    </row>
    <row r="34" spans="1:10" ht="18">
      <c r="A34" s="143" t="s">
        <v>94</v>
      </c>
      <c r="B34" s="109"/>
      <c r="C34" s="109"/>
      <c r="D34" s="109"/>
      <c r="E34" s="109"/>
      <c r="F34" s="9"/>
      <c r="G34" s="9"/>
      <c r="H34" s="9"/>
      <c r="I34" s="89"/>
      <c r="J34" s="89"/>
    </row>
    <row r="35" spans="1:8" ht="14.25">
      <c r="A35" s="144" t="s">
        <v>95</v>
      </c>
      <c r="B35" s="22"/>
      <c r="C35" s="22"/>
      <c r="D35" s="22"/>
      <c r="E35" s="22"/>
      <c r="F35" s="9"/>
      <c r="G35" s="9"/>
      <c r="H35" s="9"/>
    </row>
    <row r="36" spans="1:8" ht="14.25">
      <c r="A36" s="144" t="s">
        <v>96</v>
      </c>
      <c r="B36" s="22"/>
      <c r="C36" s="22"/>
      <c r="D36" s="22"/>
      <c r="E36" s="22"/>
      <c r="F36" s="9"/>
      <c r="G36" s="9"/>
      <c r="H36" s="9"/>
    </row>
    <row r="37" spans="1:8" ht="14.25">
      <c r="A37" s="144" t="s">
        <v>97</v>
      </c>
      <c r="B37" s="22"/>
      <c r="C37" s="22"/>
      <c r="D37" s="22"/>
      <c r="E37" s="22"/>
      <c r="F37" s="9"/>
      <c r="G37" s="9"/>
      <c r="H37" s="9"/>
    </row>
    <row r="38" spans="1:8" ht="12.75">
      <c r="A38" s="22"/>
      <c r="B38" s="22"/>
      <c r="C38" s="22"/>
      <c r="D38" s="22"/>
      <c r="E38" s="22"/>
      <c r="F38" s="9"/>
      <c r="G38" s="9"/>
      <c r="H38" s="9"/>
    </row>
    <row r="39" spans="1:8" ht="12.75">
      <c r="A39" s="22"/>
      <c r="B39" s="22"/>
      <c r="C39" s="22"/>
      <c r="D39" s="22"/>
      <c r="E39" s="22"/>
      <c r="F39" s="9"/>
      <c r="G39" s="9"/>
      <c r="H39" s="9"/>
    </row>
    <row r="40" spans="1:8" ht="12.75">
      <c r="A40" s="22"/>
      <c r="B40" s="22"/>
      <c r="C40" s="22"/>
      <c r="D40" s="22"/>
      <c r="E40" s="22"/>
      <c r="F40" s="9"/>
      <c r="G40" s="9"/>
      <c r="H40" s="9"/>
    </row>
    <row r="41" spans="1:8" ht="12.75">
      <c r="A41" s="22"/>
      <c r="B41" s="22"/>
      <c r="C41" s="22"/>
      <c r="D41" s="22"/>
      <c r="E41" s="22"/>
      <c r="F41" s="9"/>
      <c r="G41" s="9"/>
      <c r="H41" s="9"/>
    </row>
    <row r="42" spans="1:8" ht="12.75">
      <c r="A42" s="22"/>
      <c r="B42" s="22"/>
      <c r="C42" s="22"/>
      <c r="D42" s="22"/>
      <c r="E42" s="22"/>
      <c r="F42" s="9"/>
      <c r="G42" s="9"/>
      <c r="H42" s="9"/>
    </row>
    <row r="43" spans="1:8" ht="12.75">
      <c r="A43" s="22"/>
      <c r="B43" s="110"/>
      <c r="C43" s="22"/>
      <c r="D43" s="110"/>
      <c r="E43" s="22"/>
      <c r="F43" s="9"/>
      <c r="G43" s="9"/>
      <c r="H43" s="9"/>
    </row>
    <row r="44" spans="1:8" ht="12.75">
      <c r="A44" s="22"/>
      <c r="B44" s="110"/>
      <c r="C44" s="22"/>
      <c r="D44" s="110"/>
      <c r="E44" s="22"/>
      <c r="F44" s="9"/>
      <c r="G44" s="9"/>
      <c r="H44" s="9"/>
    </row>
    <row r="45" spans="1:8" ht="12.75">
      <c r="A45" s="22"/>
      <c r="B45" s="110"/>
      <c r="C45" s="22"/>
      <c r="D45" s="110"/>
      <c r="E45" s="22"/>
      <c r="F45" s="9"/>
      <c r="G45" s="9"/>
      <c r="H45" s="9"/>
    </row>
    <row r="46" spans="1:8" ht="12.75">
      <c r="A46" s="22"/>
      <c r="B46" s="110"/>
      <c r="C46" s="22"/>
      <c r="D46" s="110"/>
      <c r="E46" s="22"/>
      <c r="F46" s="9"/>
      <c r="G46" s="9"/>
      <c r="H46" s="9"/>
    </row>
    <row r="47" spans="1:8" ht="12.75">
      <c r="A47" s="22"/>
      <c r="B47" s="110"/>
      <c r="C47" s="22"/>
      <c r="D47" s="110"/>
      <c r="E47" s="22"/>
      <c r="F47" s="9"/>
      <c r="G47" s="9"/>
      <c r="H47" s="9"/>
    </row>
    <row r="48" spans="1:8" ht="12.75">
      <c r="A48" s="22"/>
      <c r="B48" s="110"/>
      <c r="C48" s="22"/>
      <c r="D48" s="110"/>
      <c r="E48" s="22"/>
      <c r="F48" s="9"/>
      <c r="G48" s="9"/>
      <c r="H48" s="9"/>
    </row>
    <row r="49" spans="1:8" ht="12.75">
      <c r="A49" s="22"/>
      <c r="B49" s="110"/>
      <c r="C49" s="22"/>
      <c r="D49" s="110"/>
      <c r="E49" s="22"/>
      <c r="F49" s="9"/>
      <c r="G49" s="9"/>
      <c r="H49" s="9"/>
    </row>
    <row r="50" spans="1:8" ht="12.75">
      <c r="A50" s="22"/>
      <c r="B50" s="110"/>
      <c r="C50" s="22"/>
      <c r="D50" s="110"/>
      <c r="E50" s="22"/>
      <c r="F50" s="9"/>
      <c r="G50" s="9"/>
      <c r="H50" s="9"/>
    </row>
    <row r="51" spans="1:8" ht="12.75">
      <c r="A51" s="22"/>
      <c r="B51" s="110"/>
      <c r="C51" s="22"/>
      <c r="D51" s="110"/>
      <c r="E51" s="22"/>
      <c r="F51" s="9"/>
      <c r="G51" s="9"/>
      <c r="H51" s="9"/>
    </row>
    <row r="52" spans="1:8" ht="12.75">
      <c r="A52" s="22"/>
      <c r="B52" s="22"/>
      <c r="C52" s="22"/>
      <c r="D52" s="22"/>
      <c r="E52" s="22"/>
      <c r="F52" s="9"/>
      <c r="G52" s="9"/>
      <c r="H52" s="9"/>
    </row>
    <row r="53" spans="1:8" ht="12.75">
      <c r="A53" s="22"/>
      <c r="B53" s="22"/>
      <c r="C53" s="22"/>
      <c r="D53" s="22"/>
      <c r="E53" s="22"/>
      <c r="F53" s="9"/>
      <c r="G53" s="9"/>
      <c r="H53" s="9"/>
    </row>
    <row r="54" spans="1:8" ht="12.75">
      <c r="A54" s="22"/>
      <c r="B54" s="22"/>
      <c r="C54" s="22"/>
      <c r="D54" s="22"/>
      <c r="E54" s="22"/>
      <c r="F54" s="9"/>
      <c r="G54" s="9"/>
      <c r="H54" s="9"/>
    </row>
    <row r="55" spans="1:8" ht="12.75">
      <c r="A55" s="22"/>
      <c r="B55" s="22"/>
      <c r="C55" s="22"/>
      <c r="D55" s="22"/>
      <c r="E55" s="22"/>
      <c r="F55" s="9"/>
      <c r="G55" s="9"/>
      <c r="H55" s="9"/>
    </row>
    <row r="56" spans="1:8" ht="12.75">
      <c r="A56" s="22"/>
      <c r="B56" s="22"/>
      <c r="C56" s="22"/>
      <c r="D56" s="22"/>
      <c r="E56" s="22"/>
      <c r="F56" s="9"/>
      <c r="G56" s="9"/>
      <c r="H56" s="9"/>
    </row>
    <row r="57" spans="1:8" ht="12.75">
      <c r="A57" s="22"/>
      <c r="B57" s="22"/>
      <c r="C57" s="22"/>
      <c r="D57" s="22"/>
      <c r="E57" s="22"/>
      <c r="F57" s="9"/>
      <c r="G57" s="9"/>
      <c r="H57" s="9"/>
    </row>
    <row r="58" spans="1:8" ht="12.75">
      <c r="A58" s="22"/>
      <c r="B58" s="22"/>
      <c r="C58" s="22"/>
      <c r="D58" s="22"/>
      <c r="E58" s="22"/>
      <c r="F58" s="9"/>
      <c r="G58" s="9"/>
      <c r="H58" s="9"/>
    </row>
    <row r="59" spans="1:8" ht="12.75">
      <c r="A59" s="22"/>
      <c r="B59" s="22"/>
      <c r="C59" s="22"/>
      <c r="D59" s="22"/>
      <c r="E59" s="22"/>
      <c r="F59" s="9"/>
      <c r="G59" s="9"/>
      <c r="H59" s="9"/>
    </row>
    <row r="60" spans="1:8" ht="12.75">
      <c r="A60" s="22"/>
      <c r="B60" s="22"/>
      <c r="C60" s="22"/>
      <c r="D60" s="22"/>
      <c r="E60" s="22"/>
      <c r="F60" s="22"/>
      <c r="G60" s="22"/>
      <c r="H60" s="22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8" ht="12.75">
      <c r="A62" s="22"/>
      <c r="B62" s="22"/>
      <c r="C62" s="22"/>
      <c r="D62" s="22"/>
      <c r="E62" s="22"/>
      <c r="F62" s="22"/>
      <c r="G62" s="22"/>
      <c r="H62" s="22"/>
    </row>
    <row r="63" spans="1:8" ht="12.75">
      <c r="A63" s="22"/>
      <c r="B63" s="22"/>
      <c r="C63" s="22"/>
      <c r="D63" s="22"/>
      <c r="E63" s="22"/>
      <c r="F63" s="22"/>
      <c r="G63" s="22"/>
      <c r="H63" s="22"/>
    </row>
    <row r="64" spans="1:8" ht="12.75">
      <c r="A64" s="22"/>
      <c r="B64" s="22"/>
      <c r="C64" s="22"/>
      <c r="D64" s="22"/>
      <c r="E64" s="22"/>
      <c r="F64" s="22"/>
      <c r="G64" s="22"/>
      <c r="H64" s="22"/>
    </row>
  </sheetData>
  <sheetProtection/>
  <printOptions/>
  <pageMargins left="0.75" right="0.75" top="0.43" bottom="0.5" header="0.24" footer="0.5"/>
  <pageSetup horizontalDpi="600" verticalDpi="600" orientation="landscape" r:id="rId3"/>
  <headerFooter alignWithMargins="0">
    <oddHeader>&amp;CÁllami PhD ösztöndíjak elosztása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" sqref="K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10.875" style="0" customWidth="1"/>
  </cols>
  <sheetData>
    <row r="2" spans="1:5" ht="12.75">
      <c r="A2" s="7" t="s">
        <v>20</v>
      </c>
      <c r="B2" s="78">
        <v>2008</v>
      </c>
      <c r="C2" s="78">
        <v>2009</v>
      </c>
      <c r="D2" s="7">
        <v>2010</v>
      </c>
      <c r="E2" s="78" t="s">
        <v>30</v>
      </c>
    </row>
    <row r="3" spans="1:5" ht="12.75">
      <c r="A3" s="1" t="s">
        <v>0</v>
      </c>
      <c r="B3" s="177">
        <v>1243</v>
      </c>
      <c r="C3" s="177">
        <v>1353</v>
      </c>
      <c r="D3" s="8">
        <v>1445</v>
      </c>
      <c r="E3" s="177">
        <f aca="true" t="shared" si="0" ref="E3:E29">SUM(B3:D3)/3</f>
        <v>1347</v>
      </c>
    </row>
    <row r="4" spans="1:5" ht="12.75">
      <c r="A4" s="1" t="s">
        <v>1</v>
      </c>
      <c r="B4" s="177">
        <v>1635</v>
      </c>
      <c r="C4" s="177">
        <v>1901</v>
      </c>
      <c r="D4" s="8">
        <v>1538</v>
      </c>
      <c r="E4" s="177">
        <f t="shared" si="0"/>
        <v>1691.3333333333333</v>
      </c>
    </row>
    <row r="5" spans="1:5" ht="12.75">
      <c r="A5" s="1" t="s">
        <v>23</v>
      </c>
      <c r="B5" s="177">
        <v>0</v>
      </c>
      <c r="C5" s="177">
        <v>5</v>
      </c>
      <c r="D5" s="8">
        <v>7</v>
      </c>
      <c r="E5" s="177">
        <f t="shared" si="0"/>
        <v>4</v>
      </c>
    </row>
    <row r="6" spans="1:5" ht="12.75">
      <c r="A6" s="1" t="s">
        <v>2</v>
      </c>
      <c r="B6" s="177">
        <v>1247</v>
      </c>
      <c r="C6" s="177">
        <v>1716</v>
      </c>
      <c r="D6" s="8">
        <v>1800</v>
      </c>
      <c r="E6" s="177">
        <f t="shared" si="0"/>
        <v>1587.6666666666667</v>
      </c>
    </row>
    <row r="7" spans="1:5" ht="12.75">
      <c r="A7" s="1" t="s">
        <v>3</v>
      </c>
      <c r="B7" s="177">
        <v>21</v>
      </c>
      <c r="C7" s="177">
        <v>27</v>
      </c>
      <c r="D7" s="8">
        <v>20</v>
      </c>
      <c r="E7" s="177">
        <f t="shared" si="0"/>
        <v>22.666666666666668</v>
      </c>
    </row>
    <row r="8" spans="1:5" ht="12.75">
      <c r="A8" s="1" t="s">
        <v>5</v>
      </c>
      <c r="B8" s="177">
        <v>17</v>
      </c>
      <c r="C8" s="177">
        <v>9</v>
      </c>
      <c r="D8" s="8">
        <v>12</v>
      </c>
      <c r="E8" s="177">
        <f t="shared" si="0"/>
        <v>12.666666666666666</v>
      </c>
    </row>
    <row r="9" spans="1:5" ht="12.75">
      <c r="A9" s="1" t="s">
        <v>100</v>
      </c>
      <c r="B9" s="177">
        <v>35</v>
      </c>
      <c r="C9" s="177">
        <v>25</v>
      </c>
      <c r="D9" s="8">
        <v>73</v>
      </c>
      <c r="E9" s="177">
        <f t="shared" si="0"/>
        <v>44.333333333333336</v>
      </c>
    </row>
    <row r="10" spans="1:5" ht="12.75">
      <c r="A10" s="1" t="s">
        <v>4</v>
      </c>
      <c r="B10" s="177">
        <v>2292</v>
      </c>
      <c r="C10" s="177">
        <v>2469</v>
      </c>
      <c r="D10" s="8">
        <v>2644</v>
      </c>
      <c r="E10" s="177">
        <f t="shared" si="0"/>
        <v>2468.3333333333335</v>
      </c>
    </row>
    <row r="11" spans="1:5" ht="12.75">
      <c r="A11" s="1" t="s">
        <v>6</v>
      </c>
      <c r="B11" s="177">
        <v>100</v>
      </c>
      <c r="C11" s="177">
        <v>82</v>
      </c>
      <c r="D11" s="8">
        <v>82</v>
      </c>
      <c r="E11" s="177">
        <f t="shared" si="0"/>
        <v>88</v>
      </c>
    </row>
    <row r="12" spans="1:5" ht="12.75">
      <c r="A12" s="1" t="s">
        <v>24</v>
      </c>
      <c r="B12" s="177">
        <v>0</v>
      </c>
      <c r="C12" s="177">
        <v>27</v>
      </c>
      <c r="D12" s="8">
        <v>37</v>
      </c>
      <c r="E12" s="177">
        <f t="shared" si="0"/>
        <v>21.333333333333332</v>
      </c>
    </row>
    <row r="13" spans="1:5" ht="12.75">
      <c r="A13" s="1" t="s">
        <v>25</v>
      </c>
      <c r="B13" s="177">
        <v>0</v>
      </c>
      <c r="C13" s="177">
        <v>0</v>
      </c>
      <c r="D13" s="8">
        <v>0</v>
      </c>
      <c r="E13" s="177">
        <v>0</v>
      </c>
    </row>
    <row r="14" spans="1:5" ht="12.75">
      <c r="A14" s="1" t="s">
        <v>7</v>
      </c>
      <c r="B14" s="177">
        <v>115</v>
      </c>
      <c r="C14" s="177">
        <v>57</v>
      </c>
      <c r="D14" s="8">
        <v>73</v>
      </c>
      <c r="E14" s="177">
        <f t="shared" si="0"/>
        <v>81.66666666666667</v>
      </c>
    </row>
    <row r="15" spans="1:5" ht="12.75">
      <c r="A15" s="1" t="s">
        <v>9</v>
      </c>
      <c r="B15" s="177">
        <v>802</v>
      </c>
      <c r="C15" s="177">
        <v>704</v>
      </c>
      <c r="D15" s="8">
        <v>650</v>
      </c>
      <c r="E15" s="177">
        <f t="shared" si="0"/>
        <v>718.6666666666666</v>
      </c>
    </row>
    <row r="16" spans="1:5" ht="12.75">
      <c r="A16" s="1" t="s">
        <v>8</v>
      </c>
      <c r="B16" s="177">
        <v>67</v>
      </c>
      <c r="C16" s="177">
        <v>97</v>
      </c>
      <c r="D16" s="8">
        <v>69</v>
      </c>
      <c r="E16" s="177">
        <f t="shared" si="0"/>
        <v>77.66666666666667</v>
      </c>
    </row>
    <row r="17" spans="1:5" ht="12.75">
      <c r="A17" s="1" t="s">
        <v>22</v>
      </c>
      <c r="B17" s="177">
        <v>67</v>
      </c>
      <c r="C17" s="177">
        <v>104</v>
      </c>
      <c r="D17" s="8">
        <v>117</v>
      </c>
      <c r="E17" s="177">
        <f t="shared" si="0"/>
        <v>96</v>
      </c>
    </row>
    <row r="18" spans="1:5" ht="12.75">
      <c r="A18" s="1" t="s">
        <v>10</v>
      </c>
      <c r="B18" s="177">
        <v>299</v>
      </c>
      <c r="C18" s="177">
        <v>371</v>
      </c>
      <c r="D18" s="8">
        <v>281</v>
      </c>
      <c r="E18" s="177">
        <f t="shared" si="0"/>
        <v>317</v>
      </c>
    </row>
    <row r="19" spans="1:5" ht="12.75">
      <c r="A19" s="1" t="s">
        <v>99</v>
      </c>
      <c r="B19" s="8">
        <v>0</v>
      </c>
      <c r="C19" s="177">
        <v>0</v>
      </c>
      <c r="D19" s="8">
        <v>14</v>
      </c>
      <c r="E19" s="177">
        <f t="shared" si="0"/>
        <v>4.666666666666667</v>
      </c>
    </row>
    <row r="20" spans="1:5" ht="12.75">
      <c r="A20" s="1" t="s">
        <v>26</v>
      </c>
      <c r="B20" s="177">
        <v>10</v>
      </c>
      <c r="C20" s="177">
        <v>0</v>
      </c>
      <c r="D20" s="8">
        <v>0</v>
      </c>
      <c r="E20" s="177">
        <f t="shared" si="0"/>
        <v>3.3333333333333335</v>
      </c>
    </row>
    <row r="21" spans="1:5" ht="12.75">
      <c r="A21" s="1" t="s">
        <v>19</v>
      </c>
      <c r="B21" s="177">
        <v>533</v>
      </c>
      <c r="C21" s="177">
        <v>474</v>
      </c>
      <c r="D21" s="8">
        <v>480</v>
      </c>
      <c r="E21" s="177">
        <f t="shared" si="0"/>
        <v>495.6666666666667</v>
      </c>
    </row>
    <row r="22" spans="1:5" ht="12.75">
      <c r="A22" s="1" t="s">
        <v>12</v>
      </c>
      <c r="B22" s="177">
        <v>544</v>
      </c>
      <c r="C22" s="177">
        <v>653</v>
      </c>
      <c r="D22" s="8">
        <v>692</v>
      </c>
      <c r="E22" s="177">
        <f t="shared" si="0"/>
        <v>629.6666666666666</v>
      </c>
    </row>
    <row r="23" spans="1:5" ht="12.75">
      <c r="A23" s="1" t="s">
        <v>13</v>
      </c>
      <c r="B23" s="177">
        <v>1194</v>
      </c>
      <c r="C23" s="177">
        <v>1187</v>
      </c>
      <c r="D23" s="8">
        <v>1352</v>
      </c>
      <c r="E23" s="177">
        <f t="shared" si="0"/>
        <v>1244.3333333333333</v>
      </c>
    </row>
    <row r="24" spans="1:5" ht="12.75">
      <c r="A24" s="1" t="s">
        <v>14</v>
      </c>
      <c r="B24" s="177">
        <v>699</v>
      </c>
      <c r="C24" s="178">
        <v>646</v>
      </c>
      <c r="D24" s="8">
        <v>741</v>
      </c>
      <c r="E24" s="177">
        <f t="shared" si="0"/>
        <v>695.3333333333334</v>
      </c>
    </row>
    <row r="25" spans="1:5" ht="12.75">
      <c r="A25" s="1" t="s">
        <v>15</v>
      </c>
      <c r="B25" s="177">
        <v>226</v>
      </c>
      <c r="C25" s="177">
        <v>202</v>
      </c>
      <c r="D25" s="8">
        <v>265</v>
      </c>
      <c r="E25" s="177">
        <f t="shared" si="0"/>
        <v>231</v>
      </c>
    </row>
    <row r="26" spans="1:5" ht="12.75">
      <c r="A26" s="1" t="s">
        <v>18</v>
      </c>
      <c r="B26" s="177">
        <v>21</v>
      </c>
      <c r="C26" s="177">
        <v>59</v>
      </c>
      <c r="D26" s="8">
        <v>22</v>
      </c>
      <c r="E26" s="177">
        <f t="shared" si="0"/>
        <v>34</v>
      </c>
    </row>
    <row r="27" spans="1:5" ht="12.75">
      <c r="A27" s="1" t="s">
        <v>17</v>
      </c>
      <c r="B27" s="177">
        <v>398</v>
      </c>
      <c r="C27" s="177">
        <v>548</v>
      </c>
      <c r="D27" s="8">
        <v>586</v>
      </c>
      <c r="E27" s="177">
        <f t="shared" si="0"/>
        <v>510.6666666666667</v>
      </c>
    </row>
    <row r="28" spans="1:5" ht="12.75">
      <c r="A28" s="1" t="s">
        <v>16</v>
      </c>
      <c r="B28" s="177">
        <v>1360</v>
      </c>
      <c r="C28" s="177">
        <v>1573</v>
      </c>
      <c r="D28" s="8">
        <v>1575</v>
      </c>
      <c r="E28" s="177">
        <f t="shared" si="0"/>
        <v>1502.6666666666667</v>
      </c>
    </row>
    <row r="29" spans="1:5" ht="12.75">
      <c r="A29" s="1" t="s">
        <v>119</v>
      </c>
      <c r="B29" s="177">
        <v>28</v>
      </c>
      <c r="C29" s="177">
        <v>24</v>
      </c>
      <c r="D29" s="8">
        <v>45</v>
      </c>
      <c r="E29" s="177">
        <f t="shared" si="0"/>
        <v>32.333333333333336</v>
      </c>
    </row>
    <row r="31" spans="1:6" ht="12.75">
      <c r="A31" s="28" t="s">
        <v>51</v>
      </c>
      <c r="B31" s="20"/>
      <c r="C31" s="20"/>
      <c r="D31" s="20"/>
      <c r="E31" s="20"/>
      <c r="F31" s="16"/>
    </row>
    <row r="32" spans="1:6" ht="12.75">
      <c r="A32" s="26" t="s">
        <v>45</v>
      </c>
      <c r="F32" s="16"/>
    </row>
    <row r="33" ht="12.75">
      <c r="A33" s="26" t="s">
        <v>116</v>
      </c>
    </row>
    <row r="34" ht="12.75">
      <c r="A34" t="s">
        <v>117</v>
      </c>
    </row>
  </sheetData>
  <sheetProtection/>
  <hyperlinks>
    <hyperlink ref="A32" r:id="rId1" display="http://db.okm.gov.hu/statisztika/fs08_fm/"/>
    <hyperlink ref="A33" r:id="rId2" display="http://db.nefmi.gov.hu/statisztika/fs09_fm/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N3" sqref="N3:N29"/>
    </sheetView>
  </sheetViews>
  <sheetFormatPr defaultColWidth="5.25390625" defaultRowHeight="12.75"/>
  <cols>
    <col min="1" max="1" width="5.25390625" style="15" customWidth="1"/>
    <col min="2" max="7" width="5.625" style="16" bestFit="1" customWidth="1"/>
    <col min="8" max="9" width="5.25390625" style="16" customWidth="1"/>
    <col min="10" max="10" width="5.625" style="16" bestFit="1" customWidth="1"/>
    <col min="11" max="12" width="5.25390625" style="16" customWidth="1"/>
    <col min="13" max="13" width="5.625" style="16" bestFit="1" customWidth="1"/>
    <col min="14" max="14" width="9.625" style="16" customWidth="1"/>
    <col min="15" max="15" width="10.125" style="16" customWidth="1"/>
    <col min="16" max="16" width="13.625" style="16" customWidth="1"/>
    <col min="17" max="17" width="5.25390625" style="16" customWidth="1"/>
    <col min="18" max="18" width="9.125" style="16" bestFit="1" customWidth="1"/>
    <col min="19" max="19" width="5.25390625" style="16" customWidth="1"/>
    <col min="20" max="20" width="9.00390625" style="16" customWidth="1"/>
    <col min="21" max="16384" width="5.25390625" style="16" customWidth="1"/>
  </cols>
  <sheetData>
    <row r="1" spans="1:16" s="15" customFormat="1" ht="13.5" thickBot="1">
      <c r="A1" s="14"/>
      <c r="B1" s="254" t="s">
        <v>35</v>
      </c>
      <c r="C1" s="255"/>
      <c r="D1" s="256"/>
      <c r="E1" s="257" t="s">
        <v>36</v>
      </c>
      <c r="F1" s="257"/>
      <c r="G1" s="258"/>
      <c r="H1" s="259" t="s">
        <v>37</v>
      </c>
      <c r="I1" s="260"/>
      <c r="J1" s="261"/>
      <c r="K1" s="255" t="s">
        <v>38</v>
      </c>
      <c r="L1" s="255"/>
      <c r="M1" s="255"/>
      <c r="N1" s="72" t="s">
        <v>29</v>
      </c>
      <c r="O1" s="73" t="s">
        <v>31</v>
      </c>
      <c r="P1" s="73" t="s">
        <v>39</v>
      </c>
    </row>
    <row r="2" spans="1:16" s="15" customFormat="1" ht="13.5" thickBot="1">
      <c r="A2" s="14"/>
      <c r="B2" s="77">
        <v>2008</v>
      </c>
      <c r="C2" s="169">
        <v>2009</v>
      </c>
      <c r="D2" s="77">
        <v>2010</v>
      </c>
      <c r="E2" s="170">
        <v>2005</v>
      </c>
      <c r="F2" s="170">
        <v>2006</v>
      </c>
      <c r="G2" s="170">
        <v>2007</v>
      </c>
      <c r="H2" s="171">
        <v>2008</v>
      </c>
      <c r="I2" s="171">
        <v>2009</v>
      </c>
      <c r="J2" s="171">
        <v>2010</v>
      </c>
      <c r="K2" s="77">
        <v>2008</v>
      </c>
      <c r="L2" s="169">
        <v>2009</v>
      </c>
      <c r="M2" s="77">
        <v>2010</v>
      </c>
      <c r="N2" s="188" t="s">
        <v>105</v>
      </c>
      <c r="O2" s="189" t="s">
        <v>105</v>
      </c>
      <c r="P2" s="77"/>
    </row>
    <row r="3" spans="1:22" ht="12.75">
      <c r="A3" s="32" t="s">
        <v>0</v>
      </c>
      <c r="B3" s="166">
        <v>284</v>
      </c>
      <c r="C3" s="167">
        <v>292</v>
      </c>
      <c r="D3" s="168">
        <v>337</v>
      </c>
      <c r="E3" s="30">
        <v>107</v>
      </c>
      <c r="F3" s="30">
        <v>123</v>
      </c>
      <c r="G3" s="30">
        <v>102</v>
      </c>
      <c r="H3" s="112">
        <v>57</v>
      </c>
      <c r="I3" s="112">
        <v>65</v>
      </c>
      <c r="J3" s="112">
        <v>51</v>
      </c>
      <c r="K3" s="165">
        <v>6</v>
      </c>
      <c r="L3" s="165">
        <v>5</v>
      </c>
      <c r="M3" s="165">
        <v>5</v>
      </c>
      <c r="N3" s="74">
        <f>SUM(B3:D3)/3</f>
        <v>304.3333333333333</v>
      </c>
      <c r="O3" s="75">
        <f aca="true" t="shared" si="0" ref="O3:O29">SUM(H3:J3)/3</f>
        <v>57.666666666666664</v>
      </c>
      <c r="P3" s="76">
        <f>(SUM(H3:J3)-SUM(K3:M3))/SUM(E3:G3)</f>
        <v>0.47289156626506024</v>
      </c>
      <c r="R3" s="24"/>
      <c r="T3" s="15"/>
      <c r="V3" s="15"/>
    </row>
    <row r="4" spans="1:22" ht="12.75">
      <c r="A4" s="33" t="s">
        <v>1</v>
      </c>
      <c r="B4" s="34">
        <v>626</v>
      </c>
      <c r="C4" s="163">
        <v>578</v>
      </c>
      <c r="D4" s="164">
        <v>544</v>
      </c>
      <c r="E4" s="31">
        <v>275</v>
      </c>
      <c r="F4" s="31">
        <v>248</v>
      </c>
      <c r="G4" s="31">
        <v>234</v>
      </c>
      <c r="H4" s="114">
        <v>139</v>
      </c>
      <c r="I4" s="114">
        <v>130</v>
      </c>
      <c r="J4" s="114">
        <v>136</v>
      </c>
      <c r="K4" s="113">
        <v>24</v>
      </c>
      <c r="L4" s="113">
        <v>13</v>
      </c>
      <c r="M4" s="113">
        <v>9</v>
      </c>
      <c r="N4" s="74">
        <f aca="true" t="shared" si="1" ref="N4:N29">SUM(B4:D4)/3</f>
        <v>582.6666666666666</v>
      </c>
      <c r="O4" s="67">
        <f t="shared" si="0"/>
        <v>135</v>
      </c>
      <c r="P4" s="65">
        <f>(SUM(H4:J4)-SUM(K4:M4))/SUM(E4:G4)</f>
        <v>0.47424042272126815</v>
      </c>
      <c r="R4" s="24"/>
      <c r="T4" s="15"/>
      <c r="V4" s="15"/>
    </row>
    <row r="5" spans="1:22" ht="12.75">
      <c r="A5" s="32" t="s">
        <v>23</v>
      </c>
      <c r="B5" s="34">
        <v>23</v>
      </c>
      <c r="C5" s="163">
        <v>22</v>
      </c>
      <c r="D5" s="164">
        <v>23</v>
      </c>
      <c r="E5" s="31">
        <v>0</v>
      </c>
      <c r="F5" s="31">
        <v>10</v>
      </c>
      <c r="G5" s="31">
        <v>10</v>
      </c>
      <c r="H5" s="114">
        <v>0</v>
      </c>
      <c r="I5" s="114">
        <v>0</v>
      </c>
      <c r="J5" s="114">
        <v>0</v>
      </c>
      <c r="K5" s="113">
        <v>0</v>
      </c>
      <c r="L5" s="113">
        <v>0</v>
      </c>
      <c r="M5" s="113">
        <v>0</v>
      </c>
      <c r="N5" s="74">
        <f t="shared" si="1"/>
        <v>22.666666666666668</v>
      </c>
      <c r="O5" s="67">
        <f t="shared" si="0"/>
        <v>0</v>
      </c>
      <c r="P5" s="66">
        <f>P32</f>
        <v>0.4413605763552616</v>
      </c>
      <c r="R5" s="25"/>
      <c r="T5" s="15"/>
      <c r="V5" s="15"/>
    </row>
    <row r="6" spans="1:22" ht="12.75">
      <c r="A6" s="33" t="s">
        <v>2</v>
      </c>
      <c r="B6" s="34">
        <v>854</v>
      </c>
      <c r="C6" s="163">
        <v>862</v>
      </c>
      <c r="D6" s="164">
        <v>903</v>
      </c>
      <c r="E6" s="31">
        <v>281</v>
      </c>
      <c r="F6" s="31">
        <v>296</v>
      </c>
      <c r="G6" s="31">
        <v>348</v>
      </c>
      <c r="H6" s="114">
        <v>179</v>
      </c>
      <c r="I6" s="114">
        <v>160</v>
      </c>
      <c r="J6" s="114">
        <v>147</v>
      </c>
      <c r="K6" s="113">
        <v>27</v>
      </c>
      <c r="L6" s="113">
        <v>23</v>
      </c>
      <c r="M6" s="113">
        <v>16</v>
      </c>
      <c r="N6" s="74">
        <f t="shared" si="1"/>
        <v>873</v>
      </c>
      <c r="O6" s="67">
        <f t="shared" si="0"/>
        <v>162</v>
      </c>
      <c r="P6" s="65">
        <f>(SUM(H6:J6)-SUM(K6:M6))/SUM(E6:G6)</f>
        <v>0.4540540540540541</v>
      </c>
      <c r="R6" s="24"/>
      <c r="T6" s="15"/>
      <c r="V6" s="15"/>
    </row>
    <row r="7" spans="1:22" ht="12.75">
      <c r="A7" s="33" t="s">
        <v>3</v>
      </c>
      <c r="B7" s="34">
        <v>20</v>
      </c>
      <c r="C7" s="163">
        <v>27</v>
      </c>
      <c r="D7" s="164">
        <v>26</v>
      </c>
      <c r="E7" s="31">
        <v>6</v>
      </c>
      <c r="F7" s="31">
        <v>5</v>
      </c>
      <c r="G7" s="31">
        <v>6</v>
      </c>
      <c r="H7" s="114">
        <v>2</v>
      </c>
      <c r="I7" s="114">
        <v>9</v>
      </c>
      <c r="J7" s="114">
        <v>0</v>
      </c>
      <c r="K7" s="113">
        <v>0</v>
      </c>
      <c r="L7" s="113">
        <v>2</v>
      </c>
      <c r="M7" s="113">
        <v>0</v>
      </c>
      <c r="N7" s="74">
        <f t="shared" si="1"/>
        <v>24.333333333333332</v>
      </c>
      <c r="O7" s="67">
        <f t="shared" si="0"/>
        <v>3.6666666666666665</v>
      </c>
      <c r="P7" s="65">
        <f>(SUM(H7:J7)-SUM(K7:M7))/SUM(E7:G7)</f>
        <v>0.5294117647058824</v>
      </c>
      <c r="R7" s="24"/>
      <c r="T7" s="15"/>
      <c r="V7" s="15"/>
    </row>
    <row r="8" spans="1:22" ht="12.75">
      <c r="A8" s="33" t="s">
        <v>5</v>
      </c>
      <c r="B8" s="34">
        <v>10</v>
      </c>
      <c r="C8" s="163">
        <v>12</v>
      </c>
      <c r="D8" s="164">
        <v>10</v>
      </c>
      <c r="E8" s="31">
        <v>3</v>
      </c>
      <c r="F8" s="31">
        <v>3</v>
      </c>
      <c r="G8" s="31">
        <v>3</v>
      </c>
      <c r="H8" s="114">
        <v>1</v>
      </c>
      <c r="I8" s="114">
        <v>4</v>
      </c>
      <c r="J8" s="114">
        <v>0</v>
      </c>
      <c r="K8" s="113">
        <v>1</v>
      </c>
      <c r="L8" s="113">
        <v>3</v>
      </c>
      <c r="M8" s="113">
        <v>0</v>
      </c>
      <c r="N8" s="74">
        <f t="shared" si="1"/>
        <v>10.666666666666666</v>
      </c>
      <c r="O8" s="67">
        <f t="shared" si="0"/>
        <v>1.6666666666666667</v>
      </c>
      <c r="P8" s="65">
        <f>(SUM(H8:J8)-SUM(K8:M8))/SUM(E8:G8)</f>
        <v>0.1111111111111111</v>
      </c>
      <c r="R8" s="25"/>
      <c r="T8" s="15"/>
      <c r="V8" s="15"/>
    </row>
    <row r="9" spans="1:22" ht="12.75">
      <c r="A9" s="32" t="s">
        <v>100</v>
      </c>
      <c r="B9" s="34">
        <v>0</v>
      </c>
      <c r="C9" s="163">
        <v>0</v>
      </c>
      <c r="D9" s="164">
        <v>0</v>
      </c>
      <c r="E9" s="31">
        <v>0</v>
      </c>
      <c r="F9" s="31">
        <v>0</v>
      </c>
      <c r="G9" s="31">
        <v>0</v>
      </c>
      <c r="H9" s="114">
        <v>0</v>
      </c>
      <c r="I9" s="114">
        <v>0</v>
      </c>
      <c r="J9" s="114">
        <v>0</v>
      </c>
      <c r="K9" s="113">
        <v>0</v>
      </c>
      <c r="L9" s="113">
        <v>0</v>
      </c>
      <c r="M9" s="113">
        <v>0</v>
      </c>
      <c r="N9" s="74">
        <f t="shared" si="1"/>
        <v>0</v>
      </c>
      <c r="O9" s="67">
        <f t="shared" si="0"/>
        <v>0</v>
      </c>
      <c r="P9" s="244">
        <f>P32</f>
        <v>0.4413605763552616</v>
      </c>
      <c r="R9" s="25"/>
      <c r="T9" s="15"/>
      <c r="V9" s="15"/>
    </row>
    <row r="10" spans="1:22" ht="12.75">
      <c r="A10" s="33" t="s">
        <v>4</v>
      </c>
      <c r="B10" s="34">
        <v>1453</v>
      </c>
      <c r="C10" s="163">
        <v>1400</v>
      </c>
      <c r="D10" s="164">
        <v>1478</v>
      </c>
      <c r="E10" s="31">
        <v>688</v>
      </c>
      <c r="F10" s="31">
        <v>631</v>
      </c>
      <c r="G10" s="31">
        <v>613</v>
      </c>
      <c r="H10" s="114">
        <v>302</v>
      </c>
      <c r="I10" s="114">
        <v>343</v>
      </c>
      <c r="J10" s="114">
        <v>316</v>
      </c>
      <c r="K10" s="113">
        <v>12</v>
      </c>
      <c r="L10" s="113">
        <v>13</v>
      </c>
      <c r="M10" s="113">
        <v>17</v>
      </c>
      <c r="N10" s="74">
        <f t="shared" si="1"/>
        <v>1443.6666666666667</v>
      </c>
      <c r="O10" s="67">
        <f t="shared" si="0"/>
        <v>320.3333333333333</v>
      </c>
      <c r="P10" s="65">
        <f aca="true" t="shared" si="2" ref="P10:P18">(SUM(H10:J10)-SUM(K10:M10))/SUM(E10:G10)</f>
        <v>0.4756728778467909</v>
      </c>
      <c r="R10" s="24"/>
      <c r="T10" s="15"/>
      <c r="V10" s="15"/>
    </row>
    <row r="11" spans="1:22" ht="12.75">
      <c r="A11" s="32" t="s">
        <v>6</v>
      </c>
      <c r="B11" s="34">
        <v>52</v>
      </c>
      <c r="C11" s="163">
        <v>52</v>
      </c>
      <c r="D11" s="164">
        <v>56</v>
      </c>
      <c r="E11" s="31">
        <v>26</v>
      </c>
      <c r="F11" s="31">
        <v>19</v>
      </c>
      <c r="G11" s="31">
        <v>14</v>
      </c>
      <c r="H11" s="114">
        <v>11</v>
      </c>
      <c r="I11" s="114">
        <v>17</v>
      </c>
      <c r="J11" s="114">
        <v>14</v>
      </c>
      <c r="K11" s="113">
        <v>0</v>
      </c>
      <c r="L11" s="113">
        <v>1</v>
      </c>
      <c r="M11" s="113">
        <v>2</v>
      </c>
      <c r="N11" s="74">
        <f t="shared" si="1"/>
        <v>53.333333333333336</v>
      </c>
      <c r="O11" s="67">
        <f t="shared" si="0"/>
        <v>14</v>
      </c>
      <c r="P11" s="65">
        <f t="shared" si="2"/>
        <v>0.6610169491525424</v>
      </c>
      <c r="R11" s="25"/>
      <c r="T11" s="15"/>
      <c r="V11" s="15"/>
    </row>
    <row r="12" spans="1:22" ht="12.75">
      <c r="A12" s="32" t="s">
        <v>24</v>
      </c>
      <c r="B12" s="34">
        <v>49</v>
      </c>
      <c r="C12" s="163">
        <v>53</v>
      </c>
      <c r="D12" s="164">
        <v>62</v>
      </c>
      <c r="E12" s="31">
        <v>17</v>
      </c>
      <c r="F12" s="31">
        <v>18</v>
      </c>
      <c r="G12" s="31">
        <v>15</v>
      </c>
      <c r="H12" s="114">
        <v>14</v>
      </c>
      <c r="I12" s="114">
        <v>8</v>
      </c>
      <c r="J12" s="114">
        <v>1</v>
      </c>
      <c r="K12" s="113">
        <v>0</v>
      </c>
      <c r="L12" s="113">
        <v>0</v>
      </c>
      <c r="M12" s="113">
        <v>0</v>
      </c>
      <c r="N12" s="74">
        <f t="shared" si="1"/>
        <v>54.666666666666664</v>
      </c>
      <c r="O12" s="67">
        <f t="shared" si="0"/>
        <v>7.666666666666667</v>
      </c>
      <c r="P12" s="65">
        <f t="shared" si="2"/>
        <v>0.46</v>
      </c>
      <c r="R12" s="25"/>
      <c r="T12" s="15"/>
      <c r="V12" s="15"/>
    </row>
    <row r="13" spans="1:22" ht="12.75">
      <c r="A13" s="33" t="s">
        <v>25</v>
      </c>
      <c r="B13" s="34">
        <v>0</v>
      </c>
      <c r="C13" s="163">
        <v>0</v>
      </c>
      <c r="D13" s="164">
        <v>0</v>
      </c>
      <c r="E13" s="31">
        <v>0</v>
      </c>
      <c r="F13" s="31">
        <v>0</v>
      </c>
      <c r="G13" s="31">
        <v>0</v>
      </c>
      <c r="H13" s="115">
        <v>0</v>
      </c>
      <c r="I13" s="115">
        <v>0</v>
      </c>
      <c r="J13" s="115">
        <v>0</v>
      </c>
      <c r="K13" s="113">
        <v>0</v>
      </c>
      <c r="L13" s="113">
        <v>0</v>
      </c>
      <c r="M13" s="113">
        <v>0</v>
      </c>
      <c r="N13" s="74">
        <f t="shared" si="1"/>
        <v>0</v>
      </c>
      <c r="O13" s="67">
        <f t="shared" si="0"/>
        <v>0</v>
      </c>
      <c r="P13" s="65">
        <v>0</v>
      </c>
      <c r="R13" s="25"/>
      <c r="T13" s="15"/>
      <c r="V13" s="15"/>
    </row>
    <row r="14" spans="1:22" ht="12.75">
      <c r="A14" s="32" t="s">
        <v>7</v>
      </c>
      <c r="B14" s="34">
        <v>46</v>
      </c>
      <c r="C14" s="163">
        <v>43</v>
      </c>
      <c r="D14" s="164">
        <v>40</v>
      </c>
      <c r="E14" s="31">
        <v>14</v>
      </c>
      <c r="F14" s="31">
        <v>17</v>
      </c>
      <c r="G14" s="31">
        <v>14</v>
      </c>
      <c r="H14" s="114">
        <v>20</v>
      </c>
      <c r="I14" s="114">
        <v>16</v>
      </c>
      <c r="J14" s="114">
        <v>18</v>
      </c>
      <c r="K14" s="113">
        <v>8</v>
      </c>
      <c r="L14" s="113">
        <v>5</v>
      </c>
      <c r="M14" s="113">
        <v>11</v>
      </c>
      <c r="N14" s="74">
        <f t="shared" si="1"/>
        <v>43</v>
      </c>
      <c r="O14" s="67">
        <f t="shared" si="0"/>
        <v>18</v>
      </c>
      <c r="P14" s="65">
        <f t="shared" si="2"/>
        <v>0.6666666666666666</v>
      </c>
      <c r="R14" s="24"/>
      <c r="T14" s="15"/>
      <c r="V14" s="15"/>
    </row>
    <row r="15" spans="1:22" ht="12.75">
      <c r="A15" s="32" t="s">
        <v>9</v>
      </c>
      <c r="B15" s="34">
        <v>207</v>
      </c>
      <c r="C15" s="163">
        <v>195</v>
      </c>
      <c r="D15" s="164">
        <v>192</v>
      </c>
      <c r="E15" s="31">
        <v>110</v>
      </c>
      <c r="F15" s="31">
        <v>101</v>
      </c>
      <c r="G15" s="31">
        <v>82</v>
      </c>
      <c r="H15" s="114">
        <v>54</v>
      </c>
      <c r="I15" s="114">
        <v>44</v>
      </c>
      <c r="J15" s="114">
        <v>33</v>
      </c>
      <c r="K15" s="113">
        <v>15</v>
      </c>
      <c r="L15" s="113">
        <v>8</v>
      </c>
      <c r="M15" s="113">
        <v>7</v>
      </c>
      <c r="N15" s="74">
        <f t="shared" si="1"/>
        <v>198</v>
      </c>
      <c r="O15" s="67">
        <f t="shared" si="0"/>
        <v>43.666666666666664</v>
      </c>
      <c r="P15" s="65">
        <f t="shared" si="2"/>
        <v>0.3447098976109215</v>
      </c>
      <c r="R15" s="24"/>
      <c r="T15" s="15"/>
      <c r="V15" s="15"/>
    </row>
    <row r="16" spans="1:22" ht="12.75">
      <c r="A16" s="32" t="s">
        <v>8</v>
      </c>
      <c r="B16" s="34">
        <v>25</v>
      </c>
      <c r="C16" s="163">
        <v>21</v>
      </c>
      <c r="D16" s="164">
        <v>30</v>
      </c>
      <c r="E16" s="31">
        <v>14</v>
      </c>
      <c r="F16" s="31">
        <v>14</v>
      </c>
      <c r="G16" s="31">
        <v>7</v>
      </c>
      <c r="H16" s="114">
        <v>9</v>
      </c>
      <c r="I16" s="114">
        <v>9</v>
      </c>
      <c r="J16" s="114">
        <v>9</v>
      </c>
      <c r="K16" s="113">
        <v>2</v>
      </c>
      <c r="L16" s="113">
        <v>1</v>
      </c>
      <c r="M16" s="113">
        <v>3</v>
      </c>
      <c r="N16" s="74">
        <f t="shared" si="1"/>
        <v>25.333333333333332</v>
      </c>
      <c r="O16" s="67">
        <f t="shared" si="0"/>
        <v>9</v>
      </c>
      <c r="P16" s="65">
        <f t="shared" si="2"/>
        <v>0.6</v>
      </c>
      <c r="R16" s="24"/>
      <c r="T16" s="15"/>
      <c r="V16" s="15"/>
    </row>
    <row r="17" spans="1:22" ht="12.75">
      <c r="A17" s="32" t="s">
        <v>22</v>
      </c>
      <c r="B17" s="34">
        <v>58</v>
      </c>
      <c r="C17" s="163">
        <v>54</v>
      </c>
      <c r="D17" s="164">
        <v>59</v>
      </c>
      <c r="E17" s="31">
        <v>23</v>
      </c>
      <c r="F17" s="31">
        <v>22</v>
      </c>
      <c r="G17" s="31">
        <v>21</v>
      </c>
      <c r="H17" s="114">
        <v>4</v>
      </c>
      <c r="I17" s="114">
        <v>18</v>
      </c>
      <c r="J17" s="114">
        <v>12</v>
      </c>
      <c r="K17" s="113">
        <v>0</v>
      </c>
      <c r="L17" s="113">
        <v>2</v>
      </c>
      <c r="M17" s="113">
        <v>2</v>
      </c>
      <c r="N17" s="74">
        <f t="shared" si="1"/>
        <v>57</v>
      </c>
      <c r="O17" s="67">
        <f t="shared" si="0"/>
        <v>11.333333333333334</v>
      </c>
      <c r="P17" s="65">
        <f t="shared" si="2"/>
        <v>0.45454545454545453</v>
      </c>
      <c r="R17" s="24"/>
      <c r="T17" s="15"/>
      <c r="V17" s="15"/>
    </row>
    <row r="18" spans="1:22" ht="12.75">
      <c r="A18" s="33" t="s">
        <v>10</v>
      </c>
      <c r="B18" s="34">
        <v>111</v>
      </c>
      <c r="C18" s="163">
        <v>129</v>
      </c>
      <c r="D18" s="164">
        <v>139</v>
      </c>
      <c r="E18" s="31">
        <v>112</v>
      </c>
      <c r="F18" s="31">
        <v>93</v>
      </c>
      <c r="G18" s="31">
        <v>90</v>
      </c>
      <c r="H18" s="114">
        <v>47</v>
      </c>
      <c r="I18" s="114">
        <v>34</v>
      </c>
      <c r="J18" s="114">
        <v>36</v>
      </c>
      <c r="K18" s="113">
        <v>5</v>
      </c>
      <c r="L18" s="113">
        <v>2</v>
      </c>
      <c r="M18" s="113">
        <v>4</v>
      </c>
      <c r="N18" s="74">
        <f t="shared" si="1"/>
        <v>126.33333333333333</v>
      </c>
      <c r="O18" s="67">
        <f t="shared" si="0"/>
        <v>39</v>
      </c>
      <c r="P18" s="65">
        <f t="shared" si="2"/>
        <v>0.3593220338983051</v>
      </c>
      <c r="R18" s="24"/>
      <c r="T18" s="15"/>
      <c r="V18" s="15"/>
    </row>
    <row r="19" spans="1:22" ht="12.75">
      <c r="A19" s="15" t="s">
        <v>99</v>
      </c>
      <c r="B19" s="34">
        <v>0</v>
      </c>
      <c r="C19" s="163">
        <v>0</v>
      </c>
      <c r="D19" s="164">
        <v>11</v>
      </c>
      <c r="E19" s="206">
        <v>0</v>
      </c>
      <c r="F19" s="206">
        <v>0</v>
      </c>
      <c r="G19" s="206">
        <v>0</v>
      </c>
      <c r="H19" s="114">
        <v>0</v>
      </c>
      <c r="I19" s="114">
        <v>0</v>
      </c>
      <c r="J19" s="114">
        <v>0</v>
      </c>
      <c r="K19" s="113">
        <v>0</v>
      </c>
      <c r="L19" s="113">
        <v>0</v>
      </c>
      <c r="M19" s="113">
        <v>0</v>
      </c>
      <c r="N19" s="74">
        <f t="shared" si="1"/>
        <v>3.6666666666666665</v>
      </c>
      <c r="O19" s="67">
        <f t="shared" si="0"/>
        <v>0</v>
      </c>
      <c r="P19" s="66">
        <f>P32</f>
        <v>0.4413605763552616</v>
      </c>
      <c r="R19" s="25"/>
      <c r="T19" s="15"/>
      <c r="V19" s="15"/>
    </row>
    <row r="20" spans="1:22" ht="12.75">
      <c r="A20" s="33" t="s">
        <v>11</v>
      </c>
      <c r="B20" s="34">
        <v>14</v>
      </c>
      <c r="C20" s="163">
        <v>19</v>
      </c>
      <c r="D20" s="164">
        <v>18</v>
      </c>
      <c r="E20" s="31">
        <v>10</v>
      </c>
      <c r="F20" s="118">
        <v>9</v>
      </c>
      <c r="G20" s="118">
        <v>7</v>
      </c>
      <c r="H20" s="114">
        <v>2</v>
      </c>
      <c r="I20" s="114">
        <v>3</v>
      </c>
      <c r="J20" s="114">
        <v>0</v>
      </c>
      <c r="K20" s="113">
        <v>1</v>
      </c>
      <c r="L20" s="113">
        <v>0</v>
      </c>
      <c r="M20" s="113">
        <v>0</v>
      </c>
      <c r="N20" s="74">
        <f t="shared" si="1"/>
        <v>17</v>
      </c>
      <c r="O20" s="67">
        <f t="shared" si="0"/>
        <v>1.6666666666666667</v>
      </c>
      <c r="P20" s="65">
        <f aca="true" t="shared" si="3" ref="P20:P29">(SUM(H20:J20)-SUM(K20:M20))/SUM(E20:G20)</f>
        <v>0.15384615384615385</v>
      </c>
      <c r="R20" s="25"/>
      <c r="T20" s="15"/>
      <c r="V20" s="15"/>
    </row>
    <row r="21" spans="1:22" ht="12.75">
      <c r="A21" s="33" t="s">
        <v>19</v>
      </c>
      <c r="B21" s="34">
        <v>185</v>
      </c>
      <c r="C21" s="163">
        <v>173</v>
      </c>
      <c r="D21" s="164">
        <v>159</v>
      </c>
      <c r="E21" s="31">
        <v>108</v>
      </c>
      <c r="F21" s="205">
        <v>96</v>
      </c>
      <c r="G21" s="205">
        <v>99</v>
      </c>
      <c r="H21" s="114">
        <v>51</v>
      </c>
      <c r="I21" s="114">
        <v>45</v>
      </c>
      <c r="J21" s="114">
        <v>55</v>
      </c>
      <c r="K21" s="113">
        <v>11</v>
      </c>
      <c r="L21" s="113">
        <v>15</v>
      </c>
      <c r="M21" s="113">
        <v>4</v>
      </c>
      <c r="N21" s="74">
        <f t="shared" si="1"/>
        <v>172.33333333333334</v>
      </c>
      <c r="O21" s="67">
        <f t="shared" si="0"/>
        <v>50.333333333333336</v>
      </c>
      <c r="P21" s="65">
        <f t="shared" si="3"/>
        <v>0.39933993399339934</v>
      </c>
      <c r="R21" s="24"/>
      <c r="T21" s="15"/>
      <c r="V21" s="15"/>
    </row>
    <row r="22" spans="1:22" ht="12.75">
      <c r="A22" s="33" t="s">
        <v>12</v>
      </c>
      <c r="B22" s="34">
        <v>245</v>
      </c>
      <c r="C22" s="163">
        <v>253</v>
      </c>
      <c r="D22" s="164">
        <v>283</v>
      </c>
      <c r="E22" s="31">
        <v>85</v>
      </c>
      <c r="F22" s="30">
        <v>81</v>
      </c>
      <c r="G22" s="30">
        <v>88</v>
      </c>
      <c r="H22" s="115">
        <v>24</v>
      </c>
      <c r="I22" s="115">
        <v>34</v>
      </c>
      <c r="J22" s="115">
        <v>28</v>
      </c>
      <c r="K22" s="113">
        <v>0</v>
      </c>
      <c r="L22" s="113">
        <v>1</v>
      </c>
      <c r="M22" s="113">
        <v>0</v>
      </c>
      <c r="N22" s="74">
        <f t="shared" si="1"/>
        <v>260.3333333333333</v>
      </c>
      <c r="O22" s="67">
        <f t="shared" si="0"/>
        <v>28.666666666666668</v>
      </c>
      <c r="P22" s="65">
        <f t="shared" si="3"/>
        <v>0.3346456692913386</v>
      </c>
      <c r="R22" s="24"/>
      <c r="T22" s="15"/>
      <c r="V22" s="15"/>
    </row>
    <row r="23" spans="1:22" ht="12.75">
      <c r="A23" s="33" t="s">
        <v>13</v>
      </c>
      <c r="B23" s="34">
        <v>892</v>
      </c>
      <c r="C23" s="163">
        <v>859</v>
      </c>
      <c r="D23" s="164">
        <v>898</v>
      </c>
      <c r="E23" s="31">
        <v>355</v>
      </c>
      <c r="F23" s="242">
        <v>425</v>
      </c>
      <c r="G23" s="242">
        <v>324</v>
      </c>
      <c r="H23" s="114">
        <v>149</v>
      </c>
      <c r="I23" s="114">
        <v>162</v>
      </c>
      <c r="J23" s="114">
        <v>146</v>
      </c>
      <c r="K23" s="113">
        <v>47</v>
      </c>
      <c r="L23" s="113">
        <v>19</v>
      </c>
      <c r="M23" s="113">
        <v>13</v>
      </c>
      <c r="N23" s="74">
        <f t="shared" si="1"/>
        <v>883</v>
      </c>
      <c r="O23" s="67">
        <f t="shared" si="0"/>
        <v>152.33333333333334</v>
      </c>
      <c r="P23" s="65">
        <f t="shared" si="3"/>
        <v>0.3423913043478261</v>
      </c>
      <c r="R23" s="24"/>
      <c r="T23" s="15"/>
      <c r="V23" s="15"/>
    </row>
    <row r="24" spans="1:22" ht="12.75">
      <c r="A24" s="32" t="s">
        <v>14</v>
      </c>
      <c r="B24" s="34">
        <v>334</v>
      </c>
      <c r="C24" s="163">
        <v>336</v>
      </c>
      <c r="D24" s="164">
        <v>369</v>
      </c>
      <c r="E24" s="31">
        <v>190</v>
      </c>
      <c r="F24" s="31">
        <v>145</v>
      </c>
      <c r="G24" s="31">
        <v>157</v>
      </c>
      <c r="H24" s="114">
        <v>138</v>
      </c>
      <c r="I24" s="114">
        <v>121</v>
      </c>
      <c r="J24" s="114">
        <v>167</v>
      </c>
      <c r="K24" s="113">
        <v>53</v>
      </c>
      <c r="L24" s="113">
        <v>38</v>
      </c>
      <c r="M24" s="113">
        <v>48</v>
      </c>
      <c r="N24" s="74">
        <f t="shared" si="1"/>
        <v>346.3333333333333</v>
      </c>
      <c r="O24" s="67">
        <f t="shared" si="0"/>
        <v>142</v>
      </c>
      <c r="P24" s="65">
        <f t="shared" si="3"/>
        <v>0.5833333333333334</v>
      </c>
      <c r="R24" s="24"/>
      <c r="T24" s="15"/>
      <c r="V24" s="15"/>
    </row>
    <row r="25" spans="1:22" ht="12.75">
      <c r="A25" s="32" t="s">
        <v>15</v>
      </c>
      <c r="B25" s="34">
        <v>147</v>
      </c>
      <c r="C25" s="163">
        <v>148</v>
      </c>
      <c r="D25" s="164">
        <v>165</v>
      </c>
      <c r="E25" s="31">
        <v>62</v>
      </c>
      <c r="F25" s="31">
        <v>52</v>
      </c>
      <c r="G25" s="31">
        <v>49</v>
      </c>
      <c r="H25" s="114">
        <v>5</v>
      </c>
      <c r="I25" s="114">
        <v>16</v>
      </c>
      <c r="J25" s="114">
        <v>13</v>
      </c>
      <c r="K25" s="113">
        <v>1</v>
      </c>
      <c r="L25" s="113">
        <v>2</v>
      </c>
      <c r="M25" s="113">
        <v>0</v>
      </c>
      <c r="N25" s="74">
        <f t="shared" si="1"/>
        <v>153.33333333333334</v>
      </c>
      <c r="O25" s="67">
        <f t="shared" si="0"/>
        <v>11.333333333333334</v>
      </c>
      <c r="P25" s="65">
        <f t="shared" si="3"/>
        <v>0.1901840490797546</v>
      </c>
      <c r="R25" s="24"/>
      <c r="T25" s="15"/>
      <c r="V25" s="15"/>
    </row>
    <row r="26" spans="1:22" ht="12.75">
      <c r="A26" s="32" t="s">
        <v>18</v>
      </c>
      <c r="B26" s="34">
        <v>37</v>
      </c>
      <c r="C26" s="163">
        <v>36</v>
      </c>
      <c r="D26" s="164">
        <v>42</v>
      </c>
      <c r="E26" s="31">
        <v>16</v>
      </c>
      <c r="F26" s="31">
        <v>12</v>
      </c>
      <c r="G26" s="31">
        <v>8</v>
      </c>
      <c r="H26" s="114">
        <v>3</v>
      </c>
      <c r="I26" s="114">
        <v>8</v>
      </c>
      <c r="J26" s="114">
        <v>4</v>
      </c>
      <c r="K26" s="113">
        <v>1</v>
      </c>
      <c r="L26" s="113">
        <v>1</v>
      </c>
      <c r="M26" s="113">
        <v>3</v>
      </c>
      <c r="N26" s="74">
        <f t="shared" si="1"/>
        <v>38.333333333333336</v>
      </c>
      <c r="O26" s="67">
        <f t="shared" si="0"/>
        <v>5</v>
      </c>
      <c r="P26" s="65">
        <f t="shared" si="3"/>
        <v>0.2777777777777778</v>
      </c>
      <c r="R26" s="24"/>
      <c r="T26" s="15"/>
      <c r="V26" s="15"/>
    </row>
    <row r="27" spans="1:22" ht="12.75">
      <c r="A27" s="32" t="s">
        <v>17</v>
      </c>
      <c r="B27" s="34">
        <v>257</v>
      </c>
      <c r="C27" s="163">
        <v>260</v>
      </c>
      <c r="D27" s="164">
        <v>289</v>
      </c>
      <c r="E27" s="31">
        <v>113</v>
      </c>
      <c r="F27" s="31">
        <v>125</v>
      </c>
      <c r="G27" s="31">
        <v>88</v>
      </c>
      <c r="H27" s="114">
        <v>41</v>
      </c>
      <c r="I27" s="114">
        <v>67</v>
      </c>
      <c r="J27" s="114">
        <v>66</v>
      </c>
      <c r="K27" s="113">
        <v>0</v>
      </c>
      <c r="L27" s="113">
        <v>3</v>
      </c>
      <c r="M27" s="113">
        <v>3</v>
      </c>
      <c r="N27" s="74">
        <f t="shared" si="1"/>
        <v>268.6666666666667</v>
      </c>
      <c r="O27" s="67">
        <f t="shared" si="0"/>
        <v>58</v>
      </c>
      <c r="P27" s="65">
        <f t="shared" si="3"/>
        <v>0.5153374233128835</v>
      </c>
      <c r="R27" s="24"/>
      <c r="T27" s="15"/>
      <c r="V27" s="15"/>
    </row>
    <row r="28" spans="1:22" ht="12.75">
      <c r="A28" s="32" t="s">
        <v>16</v>
      </c>
      <c r="B28" s="34">
        <v>617</v>
      </c>
      <c r="C28" s="163">
        <v>610</v>
      </c>
      <c r="D28" s="164">
        <v>705</v>
      </c>
      <c r="E28" s="31">
        <v>238</v>
      </c>
      <c r="F28" s="31">
        <v>228</v>
      </c>
      <c r="G28" s="31">
        <v>237</v>
      </c>
      <c r="H28" s="114">
        <v>144</v>
      </c>
      <c r="I28" s="114">
        <v>153</v>
      </c>
      <c r="J28" s="114">
        <v>198</v>
      </c>
      <c r="K28" s="113">
        <v>38</v>
      </c>
      <c r="L28" s="113">
        <v>28</v>
      </c>
      <c r="M28" s="113">
        <v>33</v>
      </c>
      <c r="N28" s="74">
        <f t="shared" si="1"/>
        <v>644</v>
      </c>
      <c r="O28" s="67">
        <f t="shared" si="0"/>
        <v>165</v>
      </c>
      <c r="P28" s="243">
        <f t="shared" si="3"/>
        <v>0.5633001422475107</v>
      </c>
      <c r="R28" s="24"/>
      <c r="T28" s="15"/>
      <c r="V28" s="15"/>
    </row>
    <row r="29" spans="1:22" ht="13.5" thickBot="1">
      <c r="A29" s="32" t="s">
        <v>119</v>
      </c>
      <c r="B29" s="34">
        <v>198</v>
      </c>
      <c r="C29" s="163">
        <v>222</v>
      </c>
      <c r="D29" s="164">
        <v>229</v>
      </c>
      <c r="E29" s="205">
        <v>65</v>
      </c>
      <c r="F29" s="205">
        <v>96</v>
      </c>
      <c r="G29" s="205">
        <v>64</v>
      </c>
      <c r="H29" s="114">
        <v>0</v>
      </c>
      <c r="I29" s="114">
        <v>44</v>
      </c>
      <c r="J29" s="114">
        <v>11</v>
      </c>
      <c r="K29" s="113">
        <v>0</v>
      </c>
      <c r="L29" s="113">
        <v>10</v>
      </c>
      <c r="M29" s="113">
        <v>3</v>
      </c>
      <c r="N29" s="74">
        <f t="shared" si="1"/>
        <v>216.33333333333334</v>
      </c>
      <c r="O29" s="67">
        <f t="shared" si="0"/>
        <v>18.333333333333332</v>
      </c>
      <c r="P29" s="207">
        <f t="shared" si="3"/>
        <v>0.18666666666666668</v>
      </c>
      <c r="R29" s="25"/>
      <c r="T29" s="15"/>
      <c r="V29" s="15"/>
    </row>
    <row r="30" spans="5:15" ht="12.75">
      <c r="E30" s="16">
        <f aca="true" t="shared" si="4" ref="E30:O30">SUM(E3:E29)</f>
        <v>2918</v>
      </c>
      <c r="F30" s="16">
        <f t="shared" si="4"/>
        <v>2869</v>
      </c>
      <c r="G30" s="16">
        <f t="shared" si="4"/>
        <v>2680</v>
      </c>
      <c r="H30" s="16">
        <f t="shared" si="4"/>
        <v>1396</v>
      </c>
      <c r="I30" s="16">
        <f t="shared" si="4"/>
        <v>1510</v>
      </c>
      <c r="J30" s="16">
        <f t="shared" si="4"/>
        <v>1461</v>
      </c>
      <c r="K30" s="16">
        <f t="shared" si="4"/>
        <v>252</v>
      </c>
      <c r="L30" s="16">
        <f t="shared" si="4"/>
        <v>195</v>
      </c>
      <c r="M30" s="16">
        <f t="shared" si="4"/>
        <v>183</v>
      </c>
      <c r="N30" s="119">
        <f t="shared" si="4"/>
        <v>6822.333333333332</v>
      </c>
      <c r="O30" s="120">
        <f t="shared" si="4"/>
        <v>1455.6666666666663</v>
      </c>
    </row>
    <row r="31" ht="12.75">
      <c r="P31" s="80" t="s">
        <v>44</v>
      </c>
    </row>
    <row r="32" spans="1:16" ht="12.75">
      <c r="A32" s="28" t="s">
        <v>51</v>
      </c>
      <c r="B32" s="20"/>
      <c r="C32" s="20"/>
      <c r="D32" s="20"/>
      <c r="E32" s="20"/>
      <c r="H32" s="28" t="s">
        <v>52</v>
      </c>
      <c r="P32" s="15">
        <f>(H30+I30+J30-K30-L30-M30)/(E30+F30+G30)</f>
        <v>0.4413605763552616</v>
      </c>
    </row>
    <row r="33" spans="1:8" ht="12.75">
      <c r="A33" s="26" t="s">
        <v>45</v>
      </c>
      <c r="B33"/>
      <c r="C33"/>
      <c r="D33"/>
      <c r="E33"/>
      <c r="H33" s="37" t="s">
        <v>53</v>
      </c>
    </row>
    <row r="34" spans="1:5" ht="12.75">
      <c r="A34" s="26" t="s">
        <v>116</v>
      </c>
      <c r="B34"/>
      <c r="C34"/>
      <c r="D34"/>
      <c r="E34"/>
    </row>
    <row r="35" spans="1:5" ht="12.75">
      <c r="A35" t="s">
        <v>117</v>
      </c>
      <c r="B35"/>
      <c r="C35"/>
      <c r="D35"/>
      <c r="E35"/>
    </row>
  </sheetData>
  <sheetProtection/>
  <mergeCells count="4">
    <mergeCell ref="B1:D1"/>
    <mergeCell ref="E1:G1"/>
    <mergeCell ref="H1:J1"/>
    <mergeCell ref="K1:M1"/>
  </mergeCells>
  <hyperlinks>
    <hyperlink ref="H33" r:id="rId1" display="http://www.doktori.hu"/>
    <hyperlink ref="A33" r:id="rId2" display="http://db.okm.gov.hu/statisztika/fs08_fm/"/>
    <hyperlink ref="A34" r:id="rId3" display="http://db.nefmi.gov.hu/statisztika/fs09_fm/"/>
  </hyperlinks>
  <printOptions/>
  <pageMargins left="0.75" right="0.75" top="1" bottom="1" header="0.5" footer="0.5"/>
  <pageSetup horizontalDpi="600" verticalDpi="600" orientation="portrait" paperSize="9" r:id="rId7"/>
  <drawing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D13" sqref="D13"/>
    </sheetView>
  </sheetViews>
  <sheetFormatPr defaultColWidth="9.00390625" defaultRowHeight="12.75"/>
  <cols>
    <col min="2" max="2" width="14.125" style="0" customWidth="1"/>
    <col min="5" max="5" width="5.75390625" style="0" customWidth="1"/>
    <col min="6" max="6" width="11.625" style="0" customWidth="1"/>
    <col min="7" max="7" width="6.125" style="0" customWidth="1"/>
    <col min="8" max="8" width="13.00390625" style="0" customWidth="1"/>
  </cols>
  <sheetData>
    <row r="1" ht="13.5" thickBot="1"/>
    <row r="2" spans="1:8" ht="13.5" thickBot="1">
      <c r="A2" s="17"/>
      <c r="B2" s="190" t="s">
        <v>91</v>
      </c>
      <c r="C2" s="190" t="s">
        <v>40</v>
      </c>
      <c r="D2" s="190" t="s">
        <v>41</v>
      </c>
      <c r="E2" s="18"/>
      <c r="F2" s="18" t="s">
        <v>42</v>
      </c>
      <c r="H2" s="35" t="s">
        <v>43</v>
      </c>
    </row>
    <row r="3" spans="1:8" ht="12.75">
      <c r="A3" s="17" t="s">
        <v>0</v>
      </c>
      <c r="B3" s="185">
        <v>383</v>
      </c>
      <c r="C3" s="185">
        <v>36</v>
      </c>
      <c r="D3" s="185">
        <v>2</v>
      </c>
      <c r="F3" s="18">
        <f aca="true" t="shared" si="0" ref="F3:F29">(B3+3*C3+5*D3)</f>
        <v>501</v>
      </c>
      <c r="H3" s="23">
        <v>9</v>
      </c>
    </row>
    <row r="4" spans="1:8" ht="12.75">
      <c r="A4" s="17" t="s">
        <v>1</v>
      </c>
      <c r="B4" s="185">
        <v>556</v>
      </c>
      <c r="C4" s="185">
        <v>92</v>
      </c>
      <c r="D4" s="185">
        <v>25</v>
      </c>
      <c r="F4" s="18">
        <f t="shared" si="0"/>
        <v>957</v>
      </c>
      <c r="H4" s="23">
        <v>16</v>
      </c>
    </row>
    <row r="5" spans="1:8" ht="12.75">
      <c r="A5" s="17" t="s">
        <v>23</v>
      </c>
      <c r="B5" s="185">
        <v>17</v>
      </c>
      <c r="C5" s="185">
        <v>0</v>
      </c>
      <c r="D5" s="185">
        <v>0</v>
      </c>
      <c r="F5" s="18">
        <f t="shared" si="0"/>
        <v>17</v>
      </c>
      <c r="H5" s="23">
        <v>4</v>
      </c>
    </row>
    <row r="6" spans="1:8" ht="12.75">
      <c r="A6" s="17" t="s">
        <v>2</v>
      </c>
      <c r="B6" s="185">
        <v>861</v>
      </c>
      <c r="C6" s="185">
        <v>131</v>
      </c>
      <c r="D6" s="185">
        <v>15</v>
      </c>
      <c r="F6" s="18">
        <f t="shared" si="0"/>
        <v>1329</v>
      </c>
      <c r="H6" s="23">
        <v>25</v>
      </c>
    </row>
    <row r="7" spans="1:8" ht="12.75">
      <c r="A7" s="17" t="s">
        <v>3</v>
      </c>
      <c r="B7" s="185">
        <v>13</v>
      </c>
      <c r="C7" s="185">
        <v>1</v>
      </c>
      <c r="D7" s="185">
        <v>0</v>
      </c>
      <c r="F7" s="18">
        <f t="shared" si="0"/>
        <v>16</v>
      </c>
      <c r="H7" s="23">
        <v>1</v>
      </c>
    </row>
    <row r="8" spans="1:8" ht="12.75">
      <c r="A8" s="17" t="s">
        <v>5</v>
      </c>
      <c r="B8" s="185">
        <v>12</v>
      </c>
      <c r="C8" s="185">
        <v>0</v>
      </c>
      <c r="D8" s="185">
        <v>0</v>
      </c>
      <c r="F8" s="18">
        <f t="shared" si="0"/>
        <v>12</v>
      </c>
      <c r="H8" s="23">
        <v>1</v>
      </c>
    </row>
    <row r="9" spans="1:8" ht="12.75">
      <c r="A9" s="150" t="s">
        <v>100</v>
      </c>
      <c r="B9" s="187">
        <v>161</v>
      </c>
      <c r="C9" s="187">
        <v>11</v>
      </c>
      <c r="D9" s="187">
        <v>0</v>
      </c>
      <c r="E9" s="149"/>
      <c r="F9" s="18">
        <f t="shared" si="0"/>
        <v>194</v>
      </c>
      <c r="G9" s="149"/>
      <c r="H9" s="23">
        <v>1</v>
      </c>
    </row>
    <row r="10" spans="1:8" ht="12.75">
      <c r="A10" s="17" t="s">
        <v>4</v>
      </c>
      <c r="B10" s="185">
        <v>911</v>
      </c>
      <c r="C10" s="185">
        <v>153</v>
      </c>
      <c r="D10" s="185">
        <v>26</v>
      </c>
      <c r="F10" s="18">
        <f t="shared" si="0"/>
        <v>1500</v>
      </c>
      <c r="H10" s="23">
        <v>17</v>
      </c>
    </row>
    <row r="11" spans="1:8" ht="12.75">
      <c r="A11" s="17" t="s">
        <v>6</v>
      </c>
      <c r="B11" s="185">
        <v>121</v>
      </c>
      <c r="C11" s="185">
        <v>9</v>
      </c>
      <c r="D11" s="185">
        <v>0</v>
      </c>
      <c r="F11" s="18">
        <f t="shared" si="0"/>
        <v>148</v>
      </c>
      <c r="H11" s="23">
        <v>2</v>
      </c>
    </row>
    <row r="12" spans="1:8" ht="12.75">
      <c r="A12" s="17" t="s">
        <v>24</v>
      </c>
      <c r="B12" s="185">
        <v>86</v>
      </c>
      <c r="C12" s="185">
        <v>5</v>
      </c>
      <c r="D12" s="185">
        <v>0</v>
      </c>
      <c r="F12" s="18">
        <f t="shared" si="0"/>
        <v>101</v>
      </c>
      <c r="H12" s="23">
        <v>2</v>
      </c>
    </row>
    <row r="13" spans="1:8" ht="12.75">
      <c r="A13" s="17" t="s">
        <v>25</v>
      </c>
      <c r="B13" s="185">
        <v>0</v>
      </c>
      <c r="C13" s="185">
        <v>0</v>
      </c>
      <c r="D13" s="185">
        <v>0</v>
      </c>
      <c r="F13" s="18">
        <f t="shared" si="0"/>
        <v>0</v>
      </c>
      <c r="H13" s="23">
        <v>2</v>
      </c>
    </row>
    <row r="14" spans="1:8" ht="12.75">
      <c r="A14" s="17" t="s">
        <v>7</v>
      </c>
      <c r="B14" s="185">
        <v>52</v>
      </c>
      <c r="C14" s="185">
        <v>0</v>
      </c>
      <c r="D14" s="185">
        <v>0</v>
      </c>
      <c r="F14" s="18">
        <f t="shared" si="0"/>
        <v>52</v>
      </c>
      <c r="H14" s="23">
        <v>2</v>
      </c>
    </row>
    <row r="15" spans="1:8" ht="12.75">
      <c r="A15" s="17" t="s">
        <v>9</v>
      </c>
      <c r="B15" s="185">
        <v>341</v>
      </c>
      <c r="C15" s="185">
        <v>32</v>
      </c>
      <c r="D15" s="185">
        <v>1</v>
      </c>
      <c r="F15" s="18">
        <f t="shared" si="0"/>
        <v>442</v>
      </c>
      <c r="H15" s="23">
        <v>7</v>
      </c>
    </row>
    <row r="16" spans="1:8" ht="12.75">
      <c r="A16" s="17" t="s">
        <v>8</v>
      </c>
      <c r="B16" s="186">
        <v>47</v>
      </c>
      <c r="C16" s="185">
        <v>0</v>
      </c>
      <c r="D16" s="185">
        <v>0</v>
      </c>
      <c r="F16" s="18">
        <f t="shared" si="0"/>
        <v>47</v>
      </c>
      <c r="H16" s="23">
        <v>1</v>
      </c>
    </row>
    <row r="17" spans="1:8" ht="12.75">
      <c r="A17" s="17" t="s">
        <v>27</v>
      </c>
      <c r="B17" s="186">
        <v>41</v>
      </c>
      <c r="C17" s="185">
        <v>2</v>
      </c>
      <c r="D17" s="185">
        <v>1</v>
      </c>
      <c r="F17" s="18">
        <f t="shared" si="0"/>
        <v>52</v>
      </c>
      <c r="H17" s="23">
        <v>3</v>
      </c>
    </row>
    <row r="18" spans="1:8" ht="12.75">
      <c r="A18" s="17" t="s">
        <v>10</v>
      </c>
      <c r="B18" s="185">
        <v>376</v>
      </c>
      <c r="C18" s="185">
        <v>19</v>
      </c>
      <c r="D18" s="185">
        <v>2</v>
      </c>
      <c r="F18" s="18">
        <f t="shared" si="0"/>
        <v>443</v>
      </c>
      <c r="H18" s="23">
        <v>6</v>
      </c>
    </row>
    <row r="19" spans="1:8" ht="12.75">
      <c r="A19" s="116" t="s">
        <v>99</v>
      </c>
      <c r="B19" s="185">
        <v>103</v>
      </c>
      <c r="C19" s="185">
        <v>10</v>
      </c>
      <c r="D19" s="185">
        <v>0</v>
      </c>
      <c r="F19" s="18">
        <f t="shared" si="0"/>
        <v>133</v>
      </c>
      <c r="H19" s="23">
        <v>3</v>
      </c>
    </row>
    <row r="20" spans="1:8" ht="12.75">
      <c r="A20" s="17" t="s">
        <v>26</v>
      </c>
      <c r="B20" s="185">
        <v>26</v>
      </c>
      <c r="C20" s="185">
        <v>4</v>
      </c>
      <c r="D20" s="185">
        <v>0</v>
      </c>
      <c r="F20" s="18">
        <f t="shared" si="0"/>
        <v>38</v>
      </c>
      <c r="H20" s="23">
        <v>1</v>
      </c>
    </row>
    <row r="21" spans="1:8" ht="12.75">
      <c r="A21" s="17" t="s">
        <v>19</v>
      </c>
      <c r="B21" s="185">
        <v>228</v>
      </c>
      <c r="C21" s="185">
        <v>32</v>
      </c>
      <c r="D21" s="185">
        <v>2</v>
      </c>
      <c r="F21" s="18">
        <f t="shared" si="0"/>
        <v>334</v>
      </c>
      <c r="H21" s="23">
        <v>9</v>
      </c>
    </row>
    <row r="22" spans="1:8" ht="12.75">
      <c r="A22" s="17" t="s">
        <v>12</v>
      </c>
      <c r="B22" s="185">
        <v>229</v>
      </c>
      <c r="C22" s="185">
        <v>17</v>
      </c>
      <c r="D22" s="185">
        <v>8</v>
      </c>
      <c r="F22" s="18">
        <f t="shared" si="0"/>
        <v>320</v>
      </c>
      <c r="H22" s="23">
        <v>8</v>
      </c>
    </row>
    <row r="23" spans="1:8" ht="12.75">
      <c r="A23" s="17" t="s">
        <v>13</v>
      </c>
      <c r="B23" s="186">
        <v>889</v>
      </c>
      <c r="C23" s="185">
        <v>84</v>
      </c>
      <c r="D23" s="185">
        <v>7</v>
      </c>
      <c r="F23" s="18">
        <f t="shared" si="0"/>
        <v>1176</v>
      </c>
      <c r="H23" s="23">
        <v>24</v>
      </c>
    </row>
    <row r="24" spans="1:8" ht="12.75">
      <c r="A24" s="17" t="s">
        <v>14</v>
      </c>
      <c r="B24" s="185">
        <v>447</v>
      </c>
      <c r="C24" s="185">
        <v>79</v>
      </c>
      <c r="D24" s="185">
        <v>10</v>
      </c>
      <c r="F24" s="18">
        <f t="shared" si="0"/>
        <v>734</v>
      </c>
      <c r="H24" s="23">
        <v>7</v>
      </c>
    </row>
    <row r="25" spans="1:8" ht="12.75">
      <c r="A25" s="17" t="s">
        <v>15</v>
      </c>
      <c r="B25" s="185">
        <v>163</v>
      </c>
      <c r="C25" s="185">
        <v>16</v>
      </c>
      <c r="D25" s="185">
        <v>2</v>
      </c>
      <c r="F25" s="18">
        <f t="shared" si="0"/>
        <v>221</v>
      </c>
      <c r="H25" s="23">
        <v>6</v>
      </c>
    </row>
    <row r="26" spans="1:8" ht="12.75">
      <c r="A26" s="17" t="s">
        <v>18</v>
      </c>
      <c r="B26" s="185">
        <v>44</v>
      </c>
      <c r="C26" s="185">
        <v>1</v>
      </c>
      <c r="D26" s="185">
        <v>0</v>
      </c>
      <c r="F26" s="18">
        <f t="shared" si="0"/>
        <v>47</v>
      </c>
      <c r="H26" s="23">
        <v>2</v>
      </c>
    </row>
    <row r="27" spans="1:8" s="149" customFormat="1" ht="12.75">
      <c r="A27" s="17" t="s">
        <v>17</v>
      </c>
      <c r="B27" s="185">
        <v>354</v>
      </c>
      <c r="C27" s="185">
        <v>29</v>
      </c>
      <c r="D27" s="185">
        <v>4</v>
      </c>
      <c r="E27"/>
      <c r="F27" s="18">
        <f t="shared" si="0"/>
        <v>461</v>
      </c>
      <c r="G27"/>
      <c r="H27" s="23">
        <v>8</v>
      </c>
    </row>
    <row r="28" spans="1:8" s="149" customFormat="1" ht="12.75">
      <c r="A28" s="17" t="s">
        <v>16</v>
      </c>
      <c r="B28" s="185">
        <v>807</v>
      </c>
      <c r="C28" s="185">
        <v>132</v>
      </c>
      <c r="D28" s="185">
        <v>10</v>
      </c>
      <c r="E28"/>
      <c r="F28" s="18">
        <f t="shared" si="0"/>
        <v>1253</v>
      </c>
      <c r="G28"/>
      <c r="H28" s="23">
        <v>17</v>
      </c>
    </row>
    <row r="29" spans="1:8" ht="12.75">
      <c r="A29" s="150" t="s">
        <v>119</v>
      </c>
      <c r="B29" s="187">
        <v>117</v>
      </c>
      <c r="C29" s="187">
        <v>12</v>
      </c>
      <c r="D29" s="187">
        <v>1</v>
      </c>
      <c r="E29" s="149"/>
      <c r="F29" s="18">
        <f t="shared" si="0"/>
        <v>158</v>
      </c>
      <c r="G29" s="149"/>
      <c r="H29" s="23">
        <v>2</v>
      </c>
    </row>
    <row r="30" spans="1:8" s="21" customFormat="1" ht="12.75">
      <c r="A30" s="28" t="s">
        <v>102</v>
      </c>
      <c r="B30" s="20"/>
      <c r="C30" s="20"/>
      <c r="D30" s="20"/>
      <c r="E30" s="20"/>
      <c r="F30" s="124">
        <f>SUM(F3:F26)</f>
        <v>8814</v>
      </c>
      <c r="G30" s="20"/>
      <c r="H30" s="29" t="s">
        <v>48</v>
      </c>
    </row>
    <row r="31" spans="1:8" ht="12.75">
      <c r="A31" s="27" t="s">
        <v>46</v>
      </c>
      <c r="H31" t="s">
        <v>50</v>
      </c>
    </row>
    <row r="32" spans="1:8" ht="12.75">
      <c r="A32" s="27" t="s">
        <v>47</v>
      </c>
      <c r="H32" t="s">
        <v>89</v>
      </c>
    </row>
    <row r="33" spans="1:8" ht="12.75">
      <c r="A33" s="240" t="s">
        <v>118</v>
      </c>
      <c r="H33" s="26" t="s">
        <v>49</v>
      </c>
    </row>
  </sheetData>
  <sheetProtection/>
  <hyperlinks>
    <hyperlink ref="H33" r:id="rId1" display="http://www.doktori.hu/index.php?menuid=109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4" sqref="T14"/>
    </sheetView>
  </sheetViews>
  <sheetFormatPr defaultColWidth="9.00390625" defaultRowHeight="12.75"/>
  <cols>
    <col min="1" max="1" width="9.00390625" style="2" customWidth="1"/>
    <col min="2" max="3" width="8.75390625" style="2" customWidth="1"/>
    <col min="4" max="4" width="11.75390625" style="2" customWidth="1"/>
    <col min="5" max="5" width="8.25390625" style="2" customWidth="1"/>
    <col min="6" max="6" width="8.625" style="2" customWidth="1"/>
    <col min="7" max="7" width="9.375" style="2" customWidth="1"/>
    <col min="8" max="8" width="7.75390625" style="2" hidden="1" customWidth="1"/>
    <col min="9" max="9" width="9.25390625" style="2" customWidth="1"/>
    <col min="10" max="10" width="8.75390625" style="2" customWidth="1"/>
    <col min="11" max="19" width="7.75390625" style="2" customWidth="1"/>
    <col min="20" max="20" width="9.25390625" style="2" customWidth="1"/>
    <col min="21" max="21" width="9.125" style="226" customWidth="1"/>
    <col min="22" max="16384" width="9.125" style="2" customWidth="1"/>
  </cols>
  <sheetData>
    <row r="1" spans="2:21" s="193" customFormat="1" ht="23.25" customHeight="1" thickBot="1">
      <c r="B1" s="265" t="s">
        <v>112</v>
      </c>
      <c r="C1" s="266"/>
      <c r="D1" s="267"/>
      <c r="E1" s="265" t="s">
        <v>110</v>
      </c>
      <c r="F1" s="266"/>
      <c r="G1" s="267"/>
      <c r="I1" s="268" t="s">
        <v>113</v>
      </c>
      <c r="J1" s="268"/>
      <c r="K1" s="269"/>
      <c r="L1" s="262" t="s">
        <v>107</v>
      </c>
      <c r="M1" s="263"/>
      <c r="N1" s="264"/>
      <c r="O1" s="262" t="s">
        <v>108</v>
      </c>
      <c r="P1" s="263"/>
      <c r="Q1" s="264"/>
      <c r="R1" s="262" t="s">
        <v>109</v>
      </c>
      <c r="S1" s="263"/>
      <c r="T1" s="264"/>
      <c r="U1" s="201" t="s">
        <v>111</v>
      </c>
    </row>
    <row r="2" spans="1:21" s="182" customFormat="1" ht="12.75" thickBot="1">
      <c r="A2" s="194"/>
      <c r="B2" s="198" t="s">
        <v>103</v>
      </c>
      <c r="C2" s="199" t="s">
        <v>104</v>
      </c>
      <c r="D2" s="179" t="s">
        <v>105</v>
      </c>
      <c r="E2" s="183" t="s">
        <v>103</v>
      </c>
      <c r="F2" s="183" t="s">
        <v>104</v>
      </c>
      <c r="G2" s="179" t="s">
        <v>105</v>
      </c>
      <c r="H2" s="180"/>
      <c r="I2" s="228" t="s">
        <v>103</v>
      </c>
      <c r="J2" s="228" t="s">
        <v>104</v>
      </c>
      <c r="K2" s="229" t="s">
        <v>105</v>
      </c>
      <c r="L2" s="183">
        <v>2009</v>
      </c>
      <c r="M2" s="183">
        <v>2010</v>
      </c>
      <c r="N2" s="179">
        <v>2011</v>
      </c>
      <c r="O2" s="183">
        <v>2008</v>
      </c>
      <c r="P2" s="183">
        <v>2009</v>
      </c>
      <c r="Q2" s="179">
        <v>2010</v>
      </c>
      <c r="R2" s="184">
        <v>2008</v>
      </c>
      <c r="S2" s="183">
        <v>2009</v>
      </c>
      <c r="T2" s="181">
        <v>2010</v>
      </c>
      <c r="U2" s="223" t="s">
        <v>105</v>
      </c>
    </row>
    <row r="3" spans="1:21" s="3" customFormat="1" ht="13.5" thickBot="1">
      <c r="A3" s="200" t="s">
        <v>20</v>
      </c>
      <c r="B3" s="195"/>
      <c r="C3" s="196" t="s">
        <v>30</v>
      </c>
      <c r="D3" s="197"/>
      <c r="E3" s="117"/>
      <c r="F3" s="191" t="s">
        <v>29</v>
      </c>
      <c r="G3" s="126"/>
      <c r="H3" s="125"/>
      <c r="I3" s="230"/>
      <c r="J3" s="231" t="s">
        <v>31</v>
      </c>
      <c r="K3" s="232"/>
      <c r="L3" s="117"/>
      <c r="M3" s="191" t="s">
        <v>32</v>
      </c>
      <c r="N3" s="126"/>
      <c r="O3" s="117"/>
      <c r="P3" s="191" t="s">
        <v>33</v>
      </c>
      <c r="Q3" s="126"/>
      <c r="R3" s="117"/>
      <c r="S3" s="191" t="s">
        <v>106</v>
      </c>
      <c r="T3" s="117"/>
      <c r="U3" s="126"/>
    </row>
    <row r="4" spans="1:21" ht="12.75">
      <c r="A4" s="38" t="s">
        <v>0</v>
      </c>
      <c r="B4" s="63">
        <v>1202.6666666666667</v>
      </c>
      <c r="C4" s="63">
        <v>1255.6666666666667</v>
      </c>
      <c r="D4" s="44">
        <f>(n!E3)</f>
        <v>1347</v>
      </c>
      <c r="E4" s="192">
        <v>297.3333333333333</v>
      </c>
      <c r="F4" s="192">
        <v>287.6666666666667</v>
      </c>
      <c r="G4" s="43">
        <f>sz1sz2h!N3</f>
        <v>304.3333333333333</v>
      </c>
      <c r="H4" s="58">
        <f aca="true" t="shared" si="0" ref="H4:H9">G4</f>
        <v>304.3333333333333</v>
      </c>
      <c r="I4" s="234">
        <v>60</v>
      </c>
      <c r="J4" s="234">
        <v>63.333333333333336</v>
      </c>
      <c r="K4" s="233">
        <f>(sz1sz2h!O3)</f>
        <v>57.666666666666664</v>
      </c>
      <c r="L4" s="121">
        <v>9</v>
      </c>
      <c r="M4" s="121">
        <v>8</v>
      </c>
      <c r="N4" s="46">
        <f>sz3sz4!H3</f>
        <v>9</v>
      </c>
      <c r="O4" s="55">
        <v>456</v>
      </c>
      <c r="P4" s="55">
        <v>480</v>
      </c>
      <c r="Q4" s="47">
        <f>(sz3sz4!F3)</f>
        <v>501</v>
      </c>
      <c r="R4" s="51">
        <v>0.4868035190615836</v>
      </c>
      <c r="S4" s="51">
        <v>0.5073313782991202</v>
      </c>
      <c r="T4" s="227">
        <f>(sz1sz2h!P3)</f>
        <v>0.47289156626506024</v>
      </c>
      <c r="U4" s="224">
        <f aca="true" t="shared" si="1" ref="U4:U30">AVERAGE(R4:T4)</f>
        <v>0.4890088212085881</v>
      </c>
    </row>
    <row r="5" spans="1:21" ht="12.75">
      <c r="A5" s="39" t="s">
        <v>1</v>
      </c>
      <c r="B5" s="60">
        <v>1508</v>
      </c>
      <c r="C5" s="60">
        <v>1663.6666666666667</v>
      </c>
      <c r="D5" s="44">
        <f>(n!E4)</f>
        <v>1691.3333333333333</v>
      </c>
      <c r="E5" s="192">
        <v>637.3333333333334</v>
      </c>
      <c r="F5" s="192">
        <v>610.6666666666666</v>
      </c>
      <c r="G5" s="43">
        <f>sz1sz2h!N4</f>
        <v>582.6666666666666</v>
      </c>
      <c r="H5" s="58">
        <f t="shared" si="0"/>
        <v>582.6666666666666</v>
      </c>
      <c r="I5" s="60">
        <v>124</v>
      </c>
      <c r="J5" s="60">
        <v>125</v>
      </c>
      <c r="K5" s="233">
        <f>(sz1sz2h!O4)</f>
        <v>135</v>
      </c>
      <c r="L5" s="122">
        <v>17</v>
      </c>
      <c r="M5" s="122">
        <v>15</v>
      </c>
      <c r="N5" s="46">
        <f>sz3sz4!H4</f>
        <v>16</v>
      </c>
      <c r="O5" s="56">
        <v>866</v>
      </c>
      <c r="P5" s="56">
        <v>954</v>
      </c>
      <c r="Q5" s="47">
        <f>(sz3sz4!F4)</f>
        <v>957</v>
      </c>
      <c r="R5" s="52">
        <v>0.32845894263217096</v>
      </c>
      <c r="S5" s="52">
        <v>0.3799019607843137</v>
      </c>
      <c r="T5" s="227">
        <f>(sz1sz2h!P4)</f>
        <v>0.47424042272126815</v>
      </c>
      <c r="U5" s="225">
        <f t="shared" si="1"/>
        <v>0.3942004420459176</v>
      </c>
    </row>
    <row r="6" spans="1:21" ht="12.75">
      <c r="A6" s="39" t="s">
        <v>23</v>
      </c>
      <c r="B6" s="60">
        <v>0</v>
      </c>
      <c r="C6" s="60">
        <v>1.6666666666666667</v>
      </c>
      <c r="D6" s="44">
        <f>(n!E5)</f>
        <v>4</v>
      </c>
      <c r="E6" s="192">
        <v>19.666666666666668</v>
      </c>
      <c r="F6" s="192">
        <v>21.333333333333332</v>
      </c>
      <c r="G6" s="43">
        <f>sz1sz2h!N5</f>
        <v>22.666666666666668</v>
      </c>
      <c r="H6" s="58">
        <f t="shared" si="0"/>
        <v>22.666666666666668</v>
      </c>
      <c r="I6" s="60">
        <v>0</v>
      </c>
      <c r="J6" s="60">
        <v>0</v>
      </c>
      <c r="K6" s="233">
        <f>(sz1sz2h!O5)</f>
        <v>0</v>
      </c>
      <c r="L6" s="122">
        <v>2</v>
      </c>
      <c r="M6" s="122">
        <v>2</v>
      </c>
      <c r="N6" s="46">
        <f>sz3sz4!H5</f>
        <v>4</v>
      </c>
      <c r="O6" s="56">
        <v>16</v>
      </c>
      <c r="P6" s="56">
        <v>15</v>
      </c>
      <c r="Q6" s="47">
        <f>(sz3sz4!F5)</f>
        <v>17</v>
      </c>
      <c r="R6" s="52">
        <v>0.343819973130318</v>
      </c>
      <c r="S6" s="52">
        <v>0.40542133176193285</v>
      </c>
      <c r="T6" s="227">
        <f>(sz1sz2h!P5)</f>
        <v>0.4413605763552616</v>
      </c>
      <c r="U6" s="225">
        <f t="shared" si="1"/>
        <v>0.3968672937491708</v>
      </c>
    </row>
    <row r="7" spans="1:21" ht="12.75">
      <c r="A7" s="39" t="s">
        <v>2</v>
      </c>
      <c r="B7" s="60">
        <v>1412.6666666666667</v>
      </c>
      <c r="C7" s="60">
        <v>1482.6666666666667</v>
      </c>
      <c r="D7" s="44">
        <f>(n!E6)</f>
        <v>1587.6666666666667</v>
      </c>
      <c r="E7" s="192">
        <v>817</v>
      </c>
      <c r="F7" s="192">
        <v>836.6666666666666</v>
      </c>
      <c r="G7" s="43">
        <f>sz1sz2h!N6</f>
        <v>873</v>
      </c>
      <c r="H7" s="58">
        <f t="shared" si="0"/>
        <v>873</v>
      </c>
      <c r="I7" s="60">
        <v>164</v>
      </c>
      <c r="J7" s="60">
        <v>165.33333333333334</v>
      </c>
      <c r="K7" s="233">
        <f>(sz1sz2h!O6)</f>
        <v>162</v>
      </c>
      <c r="L7" s="122">
        <v>25</v>
      </c>
      <c r="M7" s="122">
        <v>25</v>
      </c>
      <c r="N7" s="46">
        <f>sz3sz4!H6</f>
        <v>25</v>
      </c>
      <c r="O7" s="56">
        <v>1262</v>
      </c>
      <c r="P7" s="56">
        <v>1279</v>
      </c>
      <c r="Q7" s="47">
        <f>(sz3sz4!F6)</f>
        <v>1329</v>
      </c>
      <c r="R7" s="52">
        <v>0.43688254665203075</v>
      </c>
      <c r="S7" s="52">
        <v>0.4713804713804714</v>
      </c>
      <c r="T7" s="227">
        <f>(sz1sz2h!P6)</f>
        <v>0.4540540540540541</v>
      </c>
      <c r="U7" s="225">
        <f t="shared" si="1"/>
        <v>0.45410569069551876</v>
      </c>
    </row>
    <row r="8" spans="1:21" ht="12.75">
      <c r="A8" s="39" t="s">
        <v>3</v>
      </c>
      <c r="B8" s="60">
        <v>46</v>
      </c>
      <c r="C8" s="60">
        <v>39</v>
      </c>
      <c r="D8" s="44">
        <f>(n!E7)</f>
        <v>22.666666666666668</v>
      </c>
      <c r="E8" s="192">
        <v>19.666666666666668</v>
      </c>
      <c r="F8" s="192">
        <v>23</v>
      </c>
      <c r="G8" s="43">
        <f>sz1sz2h!N7</f>
        <v>24.333333333333332</v>
      </c>
      <c r="H8" s="58">
        <f t="shared" si="0"/>
        <v>24.333333333333332</v>
      </c>
      <c r="I8" s="60">
        <v>2</v>
      </c>
      <c r="J8" s="60">
        <v>4.666666666666667</v>
      </c>
      <c r="K8" s="233">
        <f>(sz1sz2h!O7)</f>
        <v>3.6666666666666665</v>
      </c>
      <c r="L8" s="122">
        <v>1</v>
      </c>
      <c r="M8" s="122">
        <v>1</v>
      </c>
      <c r="N8" s="46">
        <f>sz3sz4!H7</f>
        <v>1</v>
      </c>
      <c r="O8" s="56">
        <v>42</v>
      </c>
      <c r="P8" s="56">
        <v>16</v>
      </c>
      <c r="Q8" s="47">
        <f>(sz3sz4!F7)</f>
        <v>16</v>
      </c>
      <c r="R8" s="52">
        <v>0.3</v>
      </c>
      <c r="S8" s="52">
        <v>0.6</v>
      </c>
      <c r="T8" s="227">
        <f>(sz1sz2h!P7)</f>
        <v>0.5294117647058824</v>
      </c>
      <c r="U8" s="225">
        <f t="shared" si="1"/>
        <v>0.47647058823529403</v>
      </c>
    </row>
    <row r="9" spans="1:21" ht="12.75">
      <c r="A9" s="39" t="s">
        <v>5</v>
      </c>
      <c r="B9" s="60">
        <v>15.666666666666666</v>
      </c>
      <c r="C9" s="60">
        <v>13</v>
      </c>
      <c r="D9" s="44">
        <f>(n!E8)</f>
        <v>12.666666666666666</v>
      </c>
      <c r="E9" s="192">
        <v>8.666666666666666</v>
      </c>
      <c r="F9" s="192">
        <v>9.666666666666666</v>
      </c>
      <c r="G9" s="43">
        <f>sz1sz2h!N8</f>
        <v>10.666666666666666</v>
      </c>
      <c r="H9" s="58">
        <f t="shared" si="0"/>
        <v>10.666666666666666</v>
      </c>
      <c r="I9" s="60">
        <v>1.6666666666666667</v>
      </c>
      <c r="J9" s="60">
        <v>2.3333333333333335</v>
      </c>
      <c r="K9" s="233">
        <f>(sz1sz2h!O8)</f>
        <v>1.6666666666666667</v>
      </c>
      <c r="L9" s="122">
        <v>1</v>
      </c>
      <c r="M9" s="122">
        <v>1</v>
      </c>
      <c r="N9" s="46">
        <f>sz3sz4!H8</f>
        <v>1</v>
      </c>
      <c r="O9" s="56">
        <v>13</v>
      </c>
      <c r="P9" s="56">
        <v>12</v>
      </c>
      <c r="Q9" s="47">
        <f>(sz3sz4!F8)</f>
        <v>12</v>
      </c>
      <c r="R9" s="52">
        <v>0.343819973130318</v>
      </c>
      <c r="S9" s="52">
        <v>0.2222222222222222</v>
      </c>
      <c r="T9" s="227">
        <f>(sz1sz2h!P8)</f>
        <v>0.1111111111111111</v>
      </c>
      <c r="U9" s="225">
        <f t="shared" si="1"/>
        <v>0.22571776882121708</v>
      </c>
    </row>
    <row r="10" spans="1:21" ht="12.75">
      <c r="A10" s="39" t="s">
        <v>100</v>
      </c>
      <c r="B10" s="152"/>
      <c r="C10" s="152"/>
      <c r="D10" s="44">
        <f>(n!E9)</f>
        <v>44.333333333333336</v>
      </c>
      <c r="E10" s="246"/>
      <c r="F10" s="246"/>
      <c r="G10" s="43">
        <f>sz1sz2h!N9</f>
        <v>0</v>
      </c>
      <c r="H10" s="58"/>
      <c r="I10" s="153"/>
      <c r="J10" s="153"/>
      <c r="K10" s="233">
        <f>(sz1sz2h!O9)</f>
        <v>0</v>
      </c>
      <c r="L10" s="122"/>
      <c r="M10" s="122"/>
      <c r="N10" s="46">
        <f>sz3sz4!H9</f>
        <v>1</v>
      </c>
      <c r="O10" s="153"/>
      <c r="P10" s="153"/>
      <c r="Q10" s="47">
        <f>(sz3sz4!F9)</f>
        <v>194</v>
      </c>
      <c r="R10" s="52"/>
      <c r="S10" s="52"/>
      <c r="T10" s="227">
        <f>(sz1sz2h!P9)</f>
        <v>0.4413605763552616</v>
      </c>
      <c r="U10" s="225">
        <f t="shared" si="1"/>
        <v>0.4413605763552616</v>
      </c>
    </row>
    <row r="11" spans="1:21" ht="12.75">
      <c r="A11" s="39" t="s">
        <v>4</v>
      </c>
      <c r="B11" s="60">
        <v>2300</v>
      </c>
      <c r="C11" s="60">
        <v>2376.3333333333335</v>
      </c>
      <c r="D11" s="44">
        <f>(n!E10)</f>
        <v>2468.3333333333335</v>
      </c>
      <c r="E11" s="192">
        <v>1553.3333333333333</v>
      </c>
      <c r="F11" s="192">
        <v>1476.3333333333333</v>
      </c>
      <c r="G11" s="43">
        <f>sz1sz2h!N10</f>
        <v>1443.6666666666667</v>
      </c>
      <c r="H11" s="58">
        <f aca="true" t="shared" si="2" ref="H11:H19">G11</f>
        <v>1443.6666666666667</v>
      </c>
      <c r="I11" s="60">
        <v>263.6666666666667</v>
      </c>
      <c r="J11" s="60">
        <v>298.6666666666667</v>
      </c>
      <c r="K11" s="233">
        <f>(sz1sz2h!O10)</f>
        <v>320.3333333333333</v>
      </c>
      <c r="L11" s="122">
        <v>17</v>
      </c>
      <c r="M11" s="122">
        <v>17</v>
      </c>
      <c r="N11" s="46">
        <f>sz3sz4!H10</f>
        <v>17</v>
      </c>
      <c r="O11" s="56">
        <v>1399</v>
      </c>
      <c r="P11" s="56">
        <v>1465</v>
      </c>
      <c r="Q11" s="47">
        <f>(sz3sz4!F10)</f>
        <v>1500</v>
      </c>
      <c r="R11" s="52">
        <v>0.3708029197080292</v>
      </c>
      <c r="S11" s="52">
        <v>0.4475993804852865</v>
      </c>
      <c r="T11" s="227">
        <f>(sz1sz2h!P10)</f>
        <v>0.4756728778467909</v>
      </c>
      <c r="U11" s="225">
        <f t="shared" si="1"/>
        <v>0.4313583926800355</v>
      </c>
    </row>
    <row r="12" spans="1:21" ht="12.75">
      <c r="A12" s="39" t="s">
        <v>6</v>
      </c>
      <c r="B12" s="60">
        <v>108.33333333333333</v>
      </c>
      <c r="C12" s="60">
        <v>95.66666666666667</v>
      </c>
      <c r="D12" s="44">
        <f>(n!E11)</f>
        <v>88</v>
      </c>
      <c r="E12" s="192">
        <v>54.666666666666664</v>
      </c>
      <c r="F12" s="192">
        <v>52.333333333333336</v>
      </c>
      <c r="G12" s="43">
        <f>sz1sz2h!N11</f>
        <v>53.333333333333336</v>
      </c>
      <c r="H12" s="58">
        <f t="shared" si="2"/>
        <v>53.333333333333336</v>
      </c>
      <c r="I12" s="60">
        <v>10.333333333333334</v>
      </c>
      <c r="J12" s="60">
        <v>12.666666666666666</v>
      </c>
      <c r="K12" s="233">
        <f>(sz1sz2h!O11)</f>
        <v>14</v>
      </c>
      <c r="L12" s="122">
        <v>2</v>
      </c>
      <c r="M12" s="122">
        <v>2</v>
      </c>
      <c r="N12" s="46">
        <f>sz3sz4!H11</f>
        <v>2</v>
      </c>
      <c r="O12" s="56">
        <v>133</v>
      </c>
      <c r="P12" s="56">
        <v>141</v>
      </c>
      <c r="Q12" s="47">
        <f>(sz3sz4!F11)</f>
        <v>148</v>
      </c>
      <c r="R12" s="52">
        <v>0.45454545454545453</v>
      </c>
      <c r="S12" s="52">
        <v>0.6</v>
      </c>
      <c r="T12" s="227">
        <f>(sz1sz2h!P11)</f>
        <v>0.6610169491525424</v>
      </c>
      <c r="U12" s="225">
        <f t="shared" si="1"/>
        <v>0.571854134565999</v>
      </c>
    </row>
    <row r="13" spans="1:21" ht="12.75">
      <c r="A13" s="39" t="s">
        <v>24</v>
      </c>
      <c r="B13" s="60">
        <v>0</v>
      </c>
      <c r="C13" s="60">
        <v>9</v>
      </c>
      <c r="D13" s="44">
        <f>(n!E12)</f>
        <v>21.333333333333332</v>
      </c>
      <c r="E13" s="192">
        <v>43.666666666666664</v>
      </c>
      <c r="F13" s="192">
        <v>49.666666666666664</v>
      </c>
      <c r="G13" s="43">
        <f>sz1sz2h!N12</f>
        <v>54.666666666666664</v>
      </c>
      <c r="H13" s="58">
        <f t="shared" si="2"/>
        <v>54.666666666666664</v>
      </c>
      <c r="I13" s="60">
        <v>13</v>
      </c>
      <c r="J13" s="60">
        <v>11.333333333333334</v>
      </c>
      <c r="K13" s="233">
        <f>(sz1sz2h!O12)</f>
        <v>7.666666666666667</v>
      </c>
      <c r="L13" s="122">
        <v>3</v>
      </c>
      <c r="M13" s="122">
        <v>3</v>
      </c>
      <c r="N13" s="46">
        <f>sz3sz4!H12</f>
        <v>2</v>
      </c>
      <c r="O13" s="56">
        <v>85</v>
      </c>
      <c r="P13" s="56">
        <v>84</v>
      </c>
      <c r="Q13" s="47">
        <f>(sz3sz4!F12)</f>
        <v>101</v>
      </c>
      <c r="R13" s="52">
        <v>0.343819973130318</v>
      </c>
      <c r="S13" s="52">
        <v>0.40542133176193285</v>
      </c>
      <c r="T13" s="227">
        <f>(sz1sz2h!P12)</f>
        <v>0.46</v>
      </c>
      <c r="U13" s="225">
        <f t="shared" si="1"/>
        <v>0.4030804349640836</v>
      </c>
    </row>
    <row r="14" spans="1:21" ht="12.75">
      <c r="A14" s="39" t="s">
        <v>25</v>
      </c>
      <c r="B14" s="60">
        <v>0</v>
      </c>
      <c r="C14" s="60">
        <v>0</v>
      </c>
      <c r="D14" s="44">
        <f>(n!E13)</f>
        <v>0</v>
      </c>
      <c r="E14" s="203">
        <v>0</v>
      </c>
      <c r="F14" s="203">
        <v>0</v>
      </c>
      <c r="G14" s="43">
        <f>sz1sz2h!N13</f>
        <v>0</v>
      </c>
      <c r="H14" s="58">
        <f t="shared" si="2"/>
        <v>0</v>
      </c>
      <c r="I14" s="60">
        <v>0</v>
      </c>
      <c r="J14" s="60">
        <v>0</v>
      </c>
      <c r="K14" s="233">
        <f>(sz1sz2h!O13)</f>
        <v>0</v>
      </c>
      <c r="L14" s="122">
        <v>0</v>
      </c>
      <c r="M14" s="122">
        <v>2</v>
      </c>
      <c r="N14" s="46">
        <v>0</v>
      </c>
      <c r="O14" s="56">
        <v>0</v>
      </c>
      <c r="P14" s="56">
        <v>0</v>
      </c>
      <c r="Q14" s="47">
        <v>0</v>
      </c>
      <c r="R14" s="52">
        <v>0</v>
      </c>
      <c r="S14" s="52">
        <v>0</v>
      </c>
      <c r="T14" s="227">
        <v>0</v>
      </c>
      <c r="U14" s="225">
        <f t="shared" si="1"/>
        <v>0</v>
      </c>
    </row>
    <row r="15" spans="1:21" ht="12.75">
      <c r="A15" s="39" t="s">
        <v>7</v>
      </c>
      <c r="B15" s="60">
        <v>105</v>
      </c>
      <c r="C15" s="60">
        <v>88.33333333333333</v>
      </c>
      <c r="D15" s="44">
        <f>(n!E14)</f>
        <v>81.66666666666667</v>
      </c>
      <c r="E15" s="192">
        <v>49</v>
      </c>
      <c r="F15" s="192">
        <v>46.333333333333336</v>
      </c>
      <c r="G15" s="43">
        <f>sz1sz2h!N14</f>
        <v>43</v>
      </c>
      <c r="H15" s="58">
        <f t="shared" si="2"/>
        <v>43</v>
      </c>
      <c r="I15" s="60">
        <v>18.666666666666668</v>
      </c>
      <c r="J15" s="60">
        <v>18.333333333333332</v>
      </c>
      <c r="K15" s="233">
        <f>(sz1sz2h!O14)</f>
        <v>18</v>
      </c>
      <c r="L15" s="122">
        <v>2</v>
      </c>
      <c r="M15" s="122">
        <v>2</v>
      </c>
      <c r="N15" s="46">
        <f>sz3sz4!H14</f>
        <v>2</v>
      </c>
      <c r="O15" s="56">
        <v>74</v>
      </c>
      <c r="P15" s="56">
        <v>61</v>
      </c>
      <c r="Q15" s="47">
        <f>(sz3sz4!F14)</f>
        <v>52</v>
      </c>
      <c r="R15" s="52">
        <v>0.8048780487804879</v>
      </c>
      <c r="S15" s="52">
        <v>0.8</v>
      </c>
      <c r="T15" s="227">
        <f>(sz1sz2h!P14)</f>
        <v>0.6666666666666666</v>
      </c>
      <c r="U15" s="225">
        <f t="shared" si="1"/>
        <v>0.7571815718157181</v>
      </c>
    </row>
    <row r="16" spans="1:21" ht="12.75">
      <c r="A16" s="39" t="s">
        <v>9</v>
      </c>
      <c r="B16" s="60">
        <v>872.6666666666666</v>
      </c>
      <c r="C16" s="60">
        <v>787.3333333333334</v>
      </c>
      <c r="D16" s="44">
        <f>(n!E15)</f>
        <v>718.6666666666666</v>
      </c>
      <c r="E16" s="192">
        <v>241.33333333333334</v>
      </c>
      <c r="F16" s="192">
        <v>214.66666666666666</v>
      </c>
      <c r="G16" s="43">
        <f>sz1sz2h!N15</f>
        <v>198</v>
      </c>
      <c r="H16" s="58">
        <f t="shared" si="2"/>
        <v>198</v>
      </c>
      <c r="I16" s="60">
        <v>39</v>
      </c>
      <c r="J16" s="60">
        <v>46</v>
      </c>
      <c r="K16" s="233">
        <f>(sz1sz2h!O15)</f>
        <v>43.666666666666664</v>
      </c>
      <c r="L16" s="122">
        <v>7</v>
      </c>
      <c r="M16" s="122">
        <v>7</v>
      </c>
      <c r="N16" s="46">
        <f>sz3sz4!H15</f>
        <v>7</v>
      </c>
      <c r="O16" s="56">
        <v>410</v>
      </c>
      <c r="P16" s="56">
        <v>424</v>
      </c>
      <c r="Q16" s="47">
        <f>(sz3sz4!F15)</f>
        <v>442</v>
      </c>
      <c r="R16" s="52">
        <v>0.245014245014245</v>
      </c>
      <c r="S16" s="52">
        <v>0.32601880877742945</v>
      </c>
      <c r="T16" s="227">
        <f>(sz1sz2h!P15)</f>
        <v>0.3447098976109215</v>
      </c>
      <c r="U16" s="225">
        <f t="shared" si="1"/>
        <v>0.305247650467532</v>
      </c>
    </row>
    <row r="17" spans="1:21" ht="12.75">
      <c r="A17" s="39" t="s">
        <v>8</v>
      </c>
      <c r="B17" s="60">
        <v>78.33333333333333</v>
      </c>
      <c r="C17" s="60">
        <v>84.66666666666667</v>
      </c>
      <c r="D17" s="44">
        <f>(n!E16)</f>
        <v>77.66666666666667</v>
      </c>
      <c r="E17" s="192">
        <v>30.333333333333332</v>
      </c>
      <c r="F17" s="192">
        <v>27</v>
      </c>
      <c r="G17" s="43">
        <f>sz1sz2h!N16</f>
        <v>25.333333333333332</v>
      </c>
      <c r="H17" s="70">
        <f t="shared" si="2"/>
        <v>25.333333333333332</v>
      </c>
      <c r="I17" s="59">
        <v>7</v>
      </c>
      <c r="J17" s="59">
        <v>9.666666666666666</v>
      </c>
      <c r="K17" s="233">
        <f>(sz1sz2h!O16)</f>
        <v>9</v>
      </c>
      <c r="L17" s="122">
        <v>1</v>
      </c>
      <c r="M17" s="122">
        <v>1</v>
      </c>
      <c r="N17" s="46">
        <f>sz3sz4!H16</f>
        <v>1</v>
      </c>
      <c r="O17" s="56">
        <v>77</v>
      </c>
      <c r="P17" s="56">
        <v>44</v>
      </c>
      <c r="Q17" s="47">
        <f>(sz3sz4!F16)</f>
        <v>47</v>
      </c>
      <c r="R17" s="52">
        <v>0.5555555555555556</v>
      </c>
      <c r="S17" s="52">
        <v>0.6470588235294118</v>
      </c>
      <c r="T17" s="227">
        <f>(sz1sz2h!P16)</f>
        <v>0.6</v>
      </c>
      <c r="U17" s="225">
        <f t="shared" si="1"/>
        <v>0.6008714596949892</v>
      </c>
    </row>
    <row r="18" spans="1:21" ht="12.75">
      <c r="A18" s="39" t="s">
        <v>22</v>
      </c>
      <c r="B18" s="60">
        <v>111.33333333333333</v>
      </c>
      <c r="C18" s="60">
        <v>102.66666666666667</v>
      </c>
      <c r="D18" s="44">
        <f>(n!E17)</f>
        <v>96</v>
      </c>
      <c r="E18" s="192">
        <v>63</v>
      </c>
      <c r="F18" s="192">
        <v>59</v>
      </c>
      <c r="G18" s="43">
        <f>sz1sz2h!N17</f>
        <v>57</v>
      </c>
      <c r="H18" s="68">
        <f t="shared" si="2"/>
        <v>57</v>
      </c>
      <c r="I18" s="60">
        <v>3.6666666666666665</v>
      </c>
      <c r="J18" s="60">
        <v>8.666666666666666</v>
      </c>
      <c r="K18" s="233">
        <f>(sz1sz2h!O17)</f>
        <v>11.333333333333334</v>
      </c>
      <c r="L18" s="122">
        <v>3</v>
      </c>
      <c r="M18" s="122">
        <v>3</v>
      </c>
      <c r="N18" s="46">
        <f>sz3sz4!H17</f>
        <v>3</v>
      </c>
      <c r="O18" s="56">
        <v>23</v>
      </c>
      <c r="P18" s="56">
        <v>49</v>
      </c>
      <c r="Q18" s="47">
        <f>(sz3sz4!F17)</f>
        <v>52</v>
      </c>
      <c r="R18" s="52">
        <v>0.09333333333333334</v>
      </c>
      <c r="S18" s="52">
        <v>0.3333333333333333</v>
      </c>
      <c r="T18" s="227">
        <f>(sz1sz2h!P17)</f>
        <v>0.45454545454545453</v>
      </c>
      <c r="U18" s="225">
        <f t="shared" si="1"/>
        <v>0.2937373737373737</v>
      </c>
    </row>
    <row r="19" spans="1:21" ht="12.75">
      <c r="A19" s="39" t="s">
        <v>10</v>
      </c>
      <c r="B19" s="60">
        <v>298</v>
      </c>
      <c r="C19" s="60">
        <v>314.6666666666667</v>
      </c>
      <c r="D19" s="44">
        <f>(n!E18)</f>
        <v>317</v>
      </c>
      <c r="E19" s="192">
        <v>134.33333333333334</v>
      </c>
      <c r="F19" s="192">
        <v>113.33333333333333</v>
      </c>
      <c r="G19" s="43">
        <f>sz1sz2h!N18</f>
        <v>126.33333333333333</v>
      </c>
      <c r="H19" s="68">
        <f t="shared" si="2"/>
        <v>126.33333333333333</v>
      </c>
      <c r="I19" s="60">
        <v>37.333333333333336</v>
      </c>
      <c r="J19" s="60">
        <v>38.333333333333336</v>
      </c>
      <c r="K19" s="233">
        <f>(sz1sz2h!O18)</f>
        <v>39</v>
      </c>
      <c r="L19" s="122">
        <v>6</v>
      </c>
      <c r="M19" s="122">
        <v>7</v>
      </c>
      <c r="N19" s="46">
        <f>sz3sz4!H18</f>
        <v>6</v>
      </c>
      <c r="O19" s="56">
        <v>403</v>
      </c>
      <c r="P19" s="56">
        <v>434</v>
      </c>
      <c r="Q19" s="47">
        <f>(sz3sz4!F18)</f>
        <v>443</v>
      </c>
      <c r="R19" s="52">
        <v>0.2617801047120419</v>
      </c>
      <c r="S19" s="52">
        <v>0.31547619047619047</v>
      </c>
      <c r="T19" s="227">
        <f>(sz1sz2h!P18)</f>
        <v>0.3593220338983051</v>
      </c>
      <c r="U19" s="225">
        <f t="shared" si="1"/>
        <v>0.3121927763621791</v>
      </c>
    </row>
    <row r="20" spans="1:21" ht="12.75">
      <c r="A20" s="39" t="s">
        <v>99</v>
      </c>
      <c r="B20" s="152">
        <v>0</v>
      </c>
      <c r="C20" s="152">
        <v>0</v>
      </c>
      <c r="D20" s="44">
        <f>(n!E19)</f>
        <v>4.666666666666667</v>
      </c>
      <c r="E20" s="192">
        <v>0</v>
      </c>
      <c r="F20" s="192">
        <v>0</v>
      </c>
      <c r="G20" s="43">
        <f>sz1sz2h!N19</f>
        <v>3.6666666666666665</v>
      </c>
      <c r="H20" s="68"/>
      <c r="I20" s="153">
        <v>0</v>
      </c>
      <c r="J20" s="153"/>
      <c r="K20" s="233">
        <f>(sz1sz2h!O19)</f>
        <v>0</v>
      </c>
      <c r="L20" s="122">
        <v>1</v>
      </c>
      <c r="M20" s="122">
        <v>0</v>
      </c>
      <c r="N20" s="46">
        <f>sz3sz4!H19</f>
        <v>3</v>
      </c>
      <c r="O20" s="153">
        <v>0</v>
      </c>
      <c r="P20" s="153"/>
      <c r="Q20" s="47">
        <f>(sz3sz4!F19)</f>
        <v>133</v>
      </c>
      <c r="R20" s="52">
        <v>0.343819973130318</v>
      </c>
      <c r="S20" s="52">
        <v>0.40542133176193285</v>
      </c>
      <c r="T20" s="227">
        <f>(sz1sz2h!P19)</f>
        <v>0.4413605763552616</v>
      </c>
      <c r="U20" s="225">
        <f t="shared" si="1"/>
        <v>0.3968672937491708</v>
      </c>
    </row>
    <row r="21" spans="1:21" ht="12.75">
      <c r="A21" s="39" t="s">
        <v>26</v>
      </c>
      <c r="B21" s="60">
        <v>3.6666666666666665</v>
      </c>
      <c r="C21" s="60">
        <v>3.3333333333333335</v>
      </c>
      <c r="D21" s="44">
        <f>(n!E20)</f>
        <v>3.3333333333333335</v>
      </c>
      <c r="E21" s="192">
        <v>20.333333333333332</v>
      </c>
      <c r="F21" s="192">
        <v>19.333333333333332</v>
      </c>
      <c r="G21" s="43">
        <f>sz1sz2h!N20</f>
        <v>17</v>
      </c>
      <c r="H21" s="68">
        <f aca="true" t="shared" si="3" ref="H21:H29">G21</f>
        <v>17</v>
      </c>
      <c r="I21" s="60">
        <v>0.6666666666666666</v>
      </c>
      <c r="J21" s="60">
        <v>1.6666666666666667</v>
      </c>
      <c r="K21" s="233">
        <f>(sz1sz2h!O20)</f>
        <v>1.6666666666666667</v>
      </c>
      <c r="L21" s="122">
        <v>1</v>
      </c>
      <c r="M21" s="122">
        <v>1</v>
      </c>
      <c r="N21" s="46">
        <f>sz3sz4!H20</f>
        <v>1</v>
      </c>
      <c r="O21" s="56">
        <v>11</v>
      </c>
      <c r="P21" s="56">
        <v>32</v>
      </c>
      <c r="Q21" s="47">
        <f>(sz3sz4!F20)</f>
        <v>38</v>
      </c>
      <c r="R21" s="52">
        <v>0.343819973130318</v>
      </c>
      <c r="S21" s="52">
        <v>0.14814814814814814</v>
      </c>
      <c r="T21" s="227">
        <f>(sz1sz2h!P20)</f>
        <v>0.15384615384615385</v>
      </c>
      <c r="U21" s="225">
        <f t="shared" si="1"/>
        <v>0.21527142504153998</v>
      </c>
    </row>
    <row r="22" spans="1:21" ht="12.75">
      <c r="A22" s="39" t="s">
        <v>19</v>
      </c>
      <c r="B22" s="60">
        <v>529</v>
      </c>
      <c r="C22" s="60">
        <v>495.6666666666667</v>
      </c>
      <c r="D22" s="44">
        <f>(n!E21)</f>
        <v>495.6666666666667</v>
      </c>
      <c r="E22" s="192">
        <v>218.33333333333334</v>
      </c>
      <c r="F22" s="192">
        <v>195</v>
      </c>
      <c r="G22" s="43">
        <f>sz1sz2h!N21</f>
        <v>172.33333333333334</v>
      </c>
      <c r="H22" s="68">
        <f t="shared" si="3"/>
        <v>172.33333333333334</v>
      </c>
      <c r="I22" s="60">
        <v>48.666666666666664</v>
      </c>
      <c r="J22" s="60">
        <v>47</v>
      </c>
      <c r="K22" s="233">
        <f>(sz1sz2h!O21)</f>
        <v>50.333333333333336</v>
      </c>
      <c r="L22" s="122">
        <v>11</v>
      </c>
      <c r="M22" s="122">
        <v>10</v>
      </c>
      <c r="N22" s="46">
        <f>sz3sz4!H21</f>
        <v>9</v>
      </c>
      <c r="O22" s="56">
        <v>327</v>
      </c>
      <c r="P22" s="56">
        <v>316</v>
      </c>
      <c r="Q22" s="47">
        <f>(sz3sz4!F21)</f>
        <v>334</v>
      </c>
      <c r="R22" s="52">
        <v>0.3639240506329114</v>
      </c>
      <c r="S22" s="52">
        <v>0.34627831715210355</v>
      </c>
      <c r="T22" s="227">
        <f>(sz1sz2h!P21)</f>
        <v>0.39933993399339934</v>
      </c>
      <c r="U22" s="225">
        <f t="shared" si="1"/>
        <v>0.3698474339261381</v>
      </c>
    </row>
    <row r="23" spans="1:21" ht="12.75">
      <c r="A23" s="39" t="s">
        <v>12</v>
      </c>
      <c r="B23" s="60">
        <v>532</v>
      </c>
      <c r="C23" s="60">
        <v>556.3333333333334</v>
      </c>
      <c r="D23" s="44">
        <f>(n!E22)</f>
        <v>629.6666666666666</v>
      </c>
      <c r="E23" s="192">
        <v>234.33333333333334</v>
      </c>
      <c r="F23" s="192">
        <v>241</v>
      </c>
      <c r="G23" s="43">
        <f>sz1sz2h!N22</f>
        <v>260.3333333333333</v>
      </c>
      <c r="H23" s="68">
        <f t="shared" si="3"/>
        <v>260.3333333333333</v>
      </c>
      <c r="I23" s="60">
        <v>17.666666666666668</v>
      </c>
      <c r="J23" s="60">
        <v>25</v>
      </c>
      <c r="K23" s="233">
        <f>(sz1sz2h!O22)</f>
        <v>28.666666666666668</v>
      </c>
      <c r="L23" s="122">
        <v>8</v>
      </c>
      <c r="M23" s="122">
        <v>8</v>
      </c>
      <c r="N23" s="46">
        <f>sz3sz4!H22</f>
        <v>8</v>
      </c>
      <c r="O23" s="56">
        <v>271</v>
      </c>
      <c r="P23" s="56">
        <v>281</v>
      </c>
      <c r="Q23" s="47">
        <f>(sz3sz4!F22)</f>
        <v>320</v>
      </c>
      <c r="R23" s="52">
        <v>0.1607717041800643</v>
      </c>
      <c r="S23" s="52">
        <v>0.25</v>
      </c>
      <c r="T23" s="227">
        <f>(sz1sz2h!P22)</f>
        <v>0.3346456692913386</v>
      </c>
      <c r="U23" s="225">
        <f t="shared" si="1"/>
        <v>0.24847245782380098</v>
      </c>
    </row>
    <row r="24" spans="1:21" ht="12.75">
      <c r="A24" s="39" t="s">
        <v>13</v>
      </c>
      <c r="B24" s="60">
        <v>1248</v>
      </c>
      <c r="C24" s="60">
        <v>1203</v>
      </c>
      <c r="D24" s="44">
        <f>(n!E23)</f>
        <v>1244.3333333333333</v>
      </c>
      <c r="E24" s="192">
        <v>1026.3333333333333</v>
      </c>
      <c r="F24" s="192">
        <v>890.6666666666666</v>
      </c>
      <c r="G24" s="43">
        <f>sz1sz2h!N23</f>
        <v>883</v>
      </c>
      <c r="H24" s="68">
        <f t="shared" si="3"/>
        <v>883</v>
      </c>
      <c r="I24" s="60">
        <v>132.33333333333334</v>
      </c>
      <c r="J24" s="60">
        <v>145</v>
      </c>
      <c r="K24" s="233">
        <f>(sz1sz2h!O23)</f>
        <v>152.33333333333334</v>
      </c>
      <c r="L24" s="122">
        <v>24</v>
      </c>
      <c r="M24" s="122">
        <v>24</v>
      </c>
      <c r="N24" s="46">
        <f>sz3sz4!H23</f>
        <v>24</v>
      </c>
      <c r="O24" s="56">
        <v>924</v>
      </c>
      <c r="P24" s="56">
        <v>1001</v>
      </c>
      <c r="Q24" s="47">
        <f>(sz3sz4!F23)</f>
        <v>1176</v>
      </c>
      <c r="R24" s="52">
        <v>0.25572519083969464</v>
      </c>
      <c r="S24" s="52">
        <v>0.2883275261324042</v>
      </c>
      <c r="T24" s="227">
        <f>(sz1sz2h!P23)</f>
        <v>0.3423913043478261</v>
      </c>
      <c r="U24" s="225">
        <f t="shared" si="1"/>
        <v>0.295481340439975</v>
      </c>
    </row>
    <row r="25" spans="1:21" ht="12.75">
      <c r="A25" s="39" t="s">
        <v>14</v>
      </c>
      <c r="B25" s="60">
        <v>688.3333333333334</v>
      </c>
      <c r="C25" s="60">
        <v>680.6666666666666</v>
      </c>
      <c r="D25" s="44">
        <f>(n!E24)</f>
        <v>695.3333333333334</v>
      </c>
      <c r="E25" s="192">
        <v>359.6666666666667</v>
      </c>
      <c r="F25" s="192">
        <v>336.3333333333333</v>
      </c>
      <c r="G25" s="43">
        <f>sz1sz2h!N24</f>
        <v>346.3333333333333</v>
      </c>
      <c r="H25" s="68">
        <f t="shared" si="3"/>
        <v>346.3333333333333</v>
      </c>
      <c r="I25" s="60">
        <v>121.66666666666667</v>
      </c>
      <c r="J25" s="60">
        <v>128.33333333333334</v>
      </c>
      <c r="K25" s="233">
        <f>(sz1sz2h!O24)</f>
        <v>142</v>
      </c>
      <c r="L25" s="122">
        <v>6</v>
      </c>
      <c r="M25" s="122">
        <v>7</v>
      </c>
      <c r="N25" s="46">
        <f>sz3sz4!H24</f>
        <v>7</v>
      </c>
      <c r="O25" s="56">
        <v>694</v>
      </c>
      <c r="P25" s="56">
        <v>655</v>
      </c>
      <c r="Q25" s="47">
        <f>(sz3sz4!F24)</f>
        <v>734</v>
      </c>
      <c r="R25" s="52">
        <v>0.44385026737967914</v>
      </c>
      <c r="S25" s="52">
        <v>0.5047801147227533</v>
      </c>
      <c r="T25" s="227">
        <f>(sz1sz2h!P24)</f>
        <v>0.5833333333333334</v>
      </c>
      <c r="U25" s="225">
        <f t="shared" si="1"/>
        <v>0.510654571811922</v>
      </c>
    </row>
    <row r="26" spans="1:21" ht="12.75">
      <c r="A26" s="39" t="s">
        <v>15</v>
      </c>
      <c r="B26" s="60">
        <v>160.66666666666666</v>
      </c>
      <c r="C26" s="60">
        <v>204</v>
      </c>
      <c r="D26" s="44">
        <f>(n!E25)</f>
        <v>231</v>
      </c>
      <c r="E26" s="192">
        <v>119.33333333333333</v>
      </c>
      <c r="F26" s="192">
        <v>122.33333333333333</v>
      </c>
      <c r="G26" s="43">
        <f>sz1sz2h!N25</f>
        <v>153.33333333333334</v>
      </c>
      <c r="H26" s="68">
        <f t="shared" si="3"/>
        <v>153.33333333333334</v>
      </c>
      <c r="I26" s="60">
        <v>3.3333333333333335</v>
      </c>
      <c r="J26" s="60">
        <v>8.333333333333334</v>
      </c>
      <c r="K26" s="233">
        <f>(sz1sz2h!O25)</f>
        <v>11.333333333333334</v>
      </c>
      <c r="L26" s="122">
        <v>5</v>
      </c>
      <c r="M26" s="122">
        <v>6</v>
      </c>
      <c r="N26" s="46">
        <f>sz3sz4!H25</f>
        <v>6</v>
      </c>
      <c r="O26" s="56">
        <v>192</v>
      </c>
      <c r="P26" s="56">
        <v>202</v>
      </c>
      <c r="Q26" s="47">
        <f>(sz3sz4!F25)</f>
        <v>221</v>
      </c>
      <c r="R26" s="52">
        <v>0.06557377049180328</v>
      </c>
      <c r="S26" s="52">
        <v>0.12643678160919541</v>
      </c>
      <c r="T26" s="227">
        <f>(sz1sz2h!P25)</f>
        <v>0.1901840490797546</v>
      </c>
      <c r="U26" s="225">
        <f t="shared" si="1"/>
        <v>0.12739820039358443</v>
      </c>
    </row>
    <row r="27" spans="1:21" ht="12.75">
      <c r="A27" s="39" t="s">
        <v>18</v>
      </c>
      <c r="B27" s="60">
        <v>24.666666666666668</v>
      </c>
      <c r="C27" s="60">
        <v>31.666666666666668</v>
      </c>
      <c r="D27" s="44">
        <f>(n!E26)</f>
        <v>34</v>
      </c>
      <c r="E27" s="192">
        <v>36.666666666666664</v>
      </c>
      <c r="F27" s="192">
        <v>36.666666666666664</v>
      </c>
      <c r="G27" s="43">
        <f>sz1sz2h!N26</f>
        <v>38.333333333333336</v>
      </c>
      <c r="H27" s="68">
        <f t="shared" si="3"/>
        <v>38.333333333333336</v>
      </c>
      <c r="I27" s="69">
        <v>4.666666666666667</v>
      </c>
      <c r="J27" s="69">
        <v>5.666666666666667</v>
      </c>
      <c r="K27" s="233">
        <f>(sz1sz2h!O26)</f>
        <v>5</v>
      </c>
      <c r="L27" s="122">
        <v>2</v>
      </c>
      <c r="M27" s="122">
        <v>2</v>
      </c>
      <c r="N27" s="46">
        <f>sz3sz4!H26</f>
        <v>2</v>
      </c>
      <c r="O27" s="56">
        <v>41</v>
      </c>
      <c r="P27" s="56">
        <v>39</v>
      </c>
      <c r="Q27" s="47">
        <f>(sz3sz4!F26)</f>
        <v>47</v>
      </c>
      <c r="R27" s="52">
        <v>0.2564102564102564</v>
      </c>
      <c r="S27" s="52">
        <v>0.3684210526315789</v>
      </c>
      <c r="T27" s="227">
        <f>(sz1sz2h!P26)</f>
        <v>0.2777777777777778</v>
      </c>
      <c r="U27" s="225">
        <f t="shared" si="1"/>
        <v>0.3008696956065377</v>
      </c>
    </row>
    <row r="28" spans="1:21" ht="12.75">
      <c r="A28" s="151" t="s">
        <v>17</v>
      </c>
      <c r="B28" s="60">
        <v>496</v>
      </c>
      <c r="C28" s="60">
        <v>509.3333333333333</v>
      </c>
      <c r="D28" s="44">
        <f>(n!E27)</f>
        <v>510.6666666666667</v>
      </c>
      <c r="E28" s="192">
        <v>292.6666666666667</v>
      </c>
      <c r="F28" s="192">
        <v>268</v>
      </c>
      <c r="G28" s="43">
        <f>sz1sz2h!N27</f>
        <v>268.6666666666667</v>
      </c>
      <c r="H28" s="58">
        <f t="shared" si="3"/>
        <v>268.6666666666667</v>
      </c>
      <c r="I28" s="60">
        <v>45.333333333333336</v>
      </c>
      <c r="J28" s="60">
        <v>50.333333333333336</v>
      </c>
      <c r="K28" s="233">
        <f>(sz1sz2h!O27)</f>
        <v>58</v>
      </c>
      <c r="L28" s="122">
        <v>8</v>
      </c>
      <c r="M28" s="122">
        <v>8</v>
      </c>
      <c r="N28" s="46">
        <f>sz3sz4!H27</f>
        <v>8</v>
      </c>
      <c r="O28" s="56">
        <v>414</v>
      </c>
      <c r="P28" s="56">
        <v>429</v>
      </c>
      <c r="Q28" s="47">
        <f>(sz3sz4!F27)</f>
        <v>461</v>
      </c>
      <c r="R28" s="52">
        <v>0.3360655737704918</v>
      </c>
      <c r="S28" s="52">
        <v>0.3955431754874652</v>
      </c>
      <c r="T28" s="227">
        <f>(sz1sz2h!P27)</f>
        <v>0.5153374233128835</v>
      </c>
      <c r="U28" s="225">
        <f t="shared" si="1"/>
        <v>0.4156487241902802</v>
      </c>
    </row>
    <row r="29" spans="1:21" ht="12.75">
      <c r="A29" s="39" t="s">
        <v>16</v>
      </c>
      <c r="B29" s="69">
        <v>1439.6666666666667</v>
      </c>
      <c r="C29" s="69">
        <v>1457.6666666666667</v>
      </c>
      <c r="D29" s="44">
        <f>(n!E28)</f>
        <v>1502.6666666666667</v>
      </c>
      <c r="E29" s="245">
        <v>624.6666666666666</v>
      </c>
      <c r="F29" s="245">
        <v>611.6666666666666</v>
      </c>
      <c r="G29" s="43">
        <f>sz1sz2h!N28</f>
        <v>644</v>
      </c>
      <c r="H29" s="172">
        <f t="shared" si="3"/>
        <v>644</v>
      </c>
      <c r="I29" s="69">
        <v>138.66666666666666</v>
      </c>
      <c r="J29" s="69">
        <v>145.33333333333334</v>
      </c>
      <c r="K29" s="233">
        <f>(sz1sz2h!O28)</f>
        <v>165</v>
      </c>
      <c r="L29" s="173">
        <v>15</v>
      </c>
      <c r="M29" s="173">
        <v>15</v>
      </c>
      <c r="N29" s="46">
        <f>sz3sz4!H28</f>
        <v>17</v>
      </c>
      <c r="O29" s="247">
        <v>1155</v>
      </c>
      <c r="P29" s="247">
        <v>1270</v>
      </c>
      <c r="Q29" s="47">
        <f>(sz3sz4!F28)</f>
        <v>1253</v>
      </c>
      <c r="R29" s="174">
        <v>0.46176470588235297</v>
      </c>
      <c r="S29" s="174">
        <v>0.48637015781922527</v>
      </c>
      <c r="T29" s="227">
        <f>(sz1sz2h!P28)</f>
        <v>0.5633001422475107</v>
      </c>
      <c r="U29" s="225">
        <f t="shared" si="1"/>
        <v>0.5038116686496963</v>
      </c>
    </row>
    <row r="30" spans="1:21" ht="13.5" thickBot="1">
      <c r="A30" s="40" t="s">
        <v>119</v>
      </c>
      <c r="B30" s="61">
        <v>0</v>
      </c>
      <c r="C30" s="61">
        <v>23.666666666666668</v>
      </c>
      <c r="D30" s="44">
        <f>(n!E29)</f>
        <v>32.333333333333336</v>
      </c>
      <c r="E30" s="208">
        <v>0</v>
      </c>
      <c r="F30" s="208">
        <v>210</v>
      </c>
      <c r="G30" s="43">
        <f>sz1sz2h!N29</f>
        <v>216.33333333333334</v>
      </c>
      <c r="H30" s="62"/>
      <c r="I30" s="57">
        <v>0</v>
      </c>
      <c r="J30" s="57">
        <v>15</v>
      </c>
      <c r="K30" s="233">
        <f>(sz1sz2h!O29)</f>
        <v>18.333333333333332</v>
      </c>
      <c r="L30" s="123">
        <v>0</v>
      </c>
      <c r="M30" s="123">
        <v>2</v>
      </c>
      <c r="N30" s="46">
        <f>sz3sz4!H29</f>
        <v>2</v>
      </c>
      <c r="O30" s="57">
        <v>0</v>
      </c>
      <c r="P30" s="57">
        <v>90</v>
      </c>
      <c r="Q30" s="47">
        <f>(sz3sz4!F29)</f>
        <v>158</v>
      </c>
      <c r="R30" s="174">
        <v>0.343819973130318</v>
      </c>
      <c r="S30" s="174">
        <v>0.1511111111111111</v>
      </c>
      <c r="T30" s="227">
        <f>(sz1sz2h!P29)</f>
        <v>0.18666666666666668</v>
      </c>
      <c r="U30" s="235">
        <f t="shared" si="1"/>
        <v>0.22719925030269858</v>
      </c>
    </row>
    <row r="31" spans="1:21" s="5" customFormat="1" ht="13.5" thickBot="1">
      <c r="A31" s="49" t="s">
        <v>21</v>
      </c>
      <c r="B31" s="50">
        <f aca="true" t="shared" si="4" ref="B31:G31">SUM(B4:B30)</f>
        <v>13180.666666666666</v>
      </c>
      <c r="C31" s="50">
        <f t="shared" si="4"/>
        <v>13479.666666666666</v>
      </c>
      <c r="D31" s="64">
        <f t="shared" si="4"/>
        <v>13962</v>
      </c>
      <c r="E31" s="41">
        <f t="shared" si="4"/>
        <v>6901.666666666667</v>
      </c>
      <c r="F31" s="13">
        <f t="shared" si="4"/>
        <v>6758.666666666667</v>
      </c>
      <c r="G31" s="42">
        <f t="shared" si="4"/>
        <v>6822.333333333332</v>
      </c>
      <c r="H31" s="13">
        <f>SUM(H4:H27)</f>
        <v>5689.666666666666</v>
      </c>
      <c r="I31" s="41">
        <f aca="true" t="shared" si="5" ref="I31:Q31">SUM(I4:I30)</f>
        <v>1257.3333333333333</v>
      </c>
      <c r="J31" s="41">
        <f t="shared" si="5"/>
        <v>1375.9999999999998</v>
      </c>
      <c r="K31" s="71">
        <f t="shared" si="5"/>
        <v>1455.6666666666663</v>
      </c>
      <c r="L31" s="41">
        <f t="shared" si="5"/>
        <v>177</v>
      </c>
      <c r="M31" s="13">
        <f t="shared" si="5"/>
        <v>179</v>
      </c>
      <c r="N31" s="42">
        <f t="shared" si="5"/>
        <v>184</v>
      </c>
      <c r="O31" s="41">
        <f t="shared" si="5"/>
        <v>9288</v>
      </c>
      <c r="P31" s="13">
        <f t="shared" si="5"/>
        <v>9773</v>
      </c>
      <c r="Q31" s="42">
        <f t="shared" si="5"/>
        <v>10686</v>
      </c>
      <c r="R31" s="236">
        <v>0.343</v>
      </c>
      <c r="S31" s="237">
        <v>0.405</v>
      </c>
      <c r="T31" s="238">
        <f>sz1sz2h!P32</f>
        <v>0.4413605763552616</v>
      </c>
      <c r="U31" s="239">
        <f>(R31+S31+T31)/3</f>
        <v>0.39645352545175383</v>
      </c>
    </row>
    <row r="34" ht="12.75">
      <c r="B34" s="111" t="s">
        <v>90</v>
      </c>
    </row>
  </sheetData>
  <sheetProtection/>
  <mergeCells count="6">
    <mergeCell ref="L1:N1"/>
    <mergeCell ref="O1:Q1"/>
    <mergeCell ref="R1:T1"/>
    <mergeCell ref="B1:D1"/>
    <mergeCell ref="E1:G1"/>
    <mergeCell ref="I1:K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1" sqref="R31"/>
    </sheetView>
  </sheetViews>
  <sheetFormatPr defaultColWidth="9.00390625" defaultRowHeight="12.75"/>
  <cols>
    <col min="8" max="8" width="7.375" style="0" customWidth="1"/>
    <col min="14" max="14" width="9.125" style="128" customWidth="1"/>
    <col min="15" max="15" width="9.875" style="162" customWidth="1"/>
    <col min="16" max="16" width="9.875" style="211" customWidth="1"/>
    <col min="17" max="17" width="9.875" style="214" customWidth="1"/>
    <col min="18" max="18" width="7.25390625" style="0" customWidth="1"/>
    <col min="19" max="19" width="7.75390625" style="0" customWidth="1"/>
    <col min="20" max="20" width="6.375" style="0" customWidth="1"/>
    <col min="21" max="21" width="7.00390625" style="0" customWidth="1"/>
    <col min="22" max="22" width="8.75390625" style="0" customWidth="1"/>
    <col min="23" max="23" width="6.875" style="0" customWidth="1"/>
    <col min="24" max="24" width="7.125" style="0" customWidth="1"/>
    <col min="25" max="25" width="7.25390625" style="0" customWidth="1"/>
  </cols>
  <sheetData>
    <row r="1" spans="1:22" ht="13.5" thickBot="1">
      <c r="A1" s="6"/>
      <c r="B1" s="48"/>
      <c r="C1" s="12"/>
      <c r="D1" s="12"/>
      <c r="E1" s="12"/>
      <c r="F1" s="12"/>
      <c r="G1" s="48"/>
      <c r="H1" t="s">
        <v>87</v>
      </c>
      <c r="M1" t="s">
        <v>88</v>
      </c>
      <c r="O1" s="212"/>
      <c r="P1" s="212"/>
      <c r="Q1" s="215">
        <v>2012</v>
      </c>
      <c r="R1" s="86">
        <v>2011</v>
      </c>
      <c r="U1" s="99"/>
      <c r="V1" s="99"/>
    </row>
    <row r="2" spans="1:25" ht="13.5" thickBot="1">
      <c r="A2" s="4" t="s">
        <v>20</v>
      </c>
      <c r="B2" s="53" t="s">
        <v>30</v>
      </c>
      <c r="C2" s="53" t="s">
        <v>29</v>
      </c>
      <c r="D2" s="53" t="s">
        <v>54</v>
      </c>
      <c r="E2" s="53" t="s">
        <v>55</v>
      </c>
      <c r="F2" s="53" t="s">
        <v>56</v>
      </c>
      <c r="G2" s="53" t="s">
        <v>57</v>
      </c>
      <c r="H2" s="102" t="s">
        <v>30</v>
      </c>
      <c r="I2" s="102" t="s">
        <v>29</v>
      </c>
      <c r="J2" s="102" t="s">
        <v>31</v>
      </c>
      <c r="K2" s="102" t="s">
        <v>32</v>
      </c>
      <c r="L2" s="103" t="s">
        <v>33</v>
      </c>
      <c r="M2" s="19"/>
      <c r="N2" s="129"/>
      <c r="O2" s="241" t="s">
        <v>93</v>
      </c>
      <c r="P2" s="241" t="s">
        <v>92</v>
      </c>
      <c r="Q2" s="215"/>
      <c r="R2" s="86"/>
      <c r="S2" t="s">
        <v>115</v>
      </c>
      <c r="T2" t="s">
        <v>59</v>
      </c>
      <c r="U2" s="99"/>
      <c r="V2" s="99"/>
      <c r="W2" s="140">
        <f>T37/100</f>
        <v>0.06498671366864038</v>
      </c>
      <c r="X2" s="140">
        <f>T38/100</f>
        <v>0.19496014100592116</v>
      </c>
      <c r="Y2" s="140">
        <f>T39/100</f>
        <v>0.32493356834320186</v>
      </c>
    </row>
    <row r="3" spans="1:26" ht="12.75">
      <c r="A3" s="38" t="s">
        <v>0</v>
      </c>
      <c r="B3" s="44">
        <f>(n!E3)</f>
        <v>1347</v>
      </c>
      <c r="C3" s="45">
        <f>(sz1sz2h!N3)</f>
        <v>304.3333333333333</v>
      </c>
      <c r="D3" s="45">
        <f>(sz1sz2h!O3)</f>
        <v>57.666666666666664</v>
      </c>
      <c r="E3" s="46">
        <f>(sz3sz4!H3)</f>
        <v>9</v>
      </c>
      <c r="F3" s="47">
        <f>(sz3sz4!F3)</f>
        <v>501</v>
      </c>
      <c r="G3" s="54">
        <f>(adatok!U4)</f>
        <v>0.4890088212085881</v>
      </c>
      <c r="H3" s="79">
        <f aca="true" t="shared" si="0" ref="H3:H30">B3/$B$30*$H$32</f>
        <v>14.876622260421142</v>
      </c>
      <c r="I3" s="79">
        <f aca="true" t="shared" si="1" ref="I3:I30">C3/$C$30*$I$32</f>
        <v>4.585742903210046</v>
      </c>
      <c r="J3" s="79">
        <f aca="true" t="shared" si="2" ref="J3:J30">D3/$D$30*$J$32</f>
        <v>14.253583695901078</v>
      </c>
      <c r="K3" s="79">
        <f aca="true" t="shared" si="3" ref="K3:K29">E3/$E$30*$K$32</f>
        <v>5.0282608695652184</v>
      </c>
      <c r="L3" s="79">
        <f aca="true" t="shared" si="4" ref="L3:L30">F3/$F$30*$L$32</f>
        <v>14.458955642897248</v>
      </c>
      <c r="M3" s="106">
        <f aca="true" t="shared" si="5" ref="M3:M30">SUM(H3:L3)</f>
        <v>53.20316537199473</v>
      </c>
      <c r="N3" s="130">
        <f>1028/$V$30*(0.4*G3*M3+0.6*M3)</f>
        <v>55.40331738161515</v>
      </c>
      <c r="O3" s="212">
        <f>ROUND(N3*$O$32,0)</f>
        <v>55</v>
      </c>
      <c r="P3" s="213">
        <f>SUM(W3:Y3)</f>
        <v>11</v>
      </c>
      <c r="Q3" s="216">
        <f>O3+P3</f>
        <v>66</v>
      </c>
      <c r="R3" s="87">
        <v>70</v>
      </c>
      <c r="S3" s="79">
        <f>elosztások!I3-elosztások!H3</f>
        <v>-4</v>
      </c>
      <c r="T3">
        <f aca="true" t="shared" si="6" ref="T3:T29">IF(R3&lt;10,1,IF(R3&lt;20,2,INT(R3*0.15)))</f>
        <v>10</v>
      </c>
      <c r="U3" s="100">
        <f aca="true" t="shared" si="7" ref="U3:U29">T3-ABS(S3)</f>
        <v>6</v>
      </c>
      <c r="V3" s="100">
        <f aca="true" t="shared" si="8" ref="V3:V29">0.4*G3*M3+0.6*M3</f>
        <v>42.32862609644672</v>
      </c>
      <c r="W3" s="79"/>
      <c r="X3" s="79">
        <f>ROUND((O3*(1+$T$38/100)-O3),0)</f>
        <v>11</v>
      </c>
      <c r="Y3" s="79"/>
      <c r="Z3" s="79">
        <f>X3</f>
        <v>11</v>
      </c>
    </row>
    <row r="4" spans="1:26" ht="12.75">
      <c r="A4" s="39" t="s">
        <v>1</v>
      </c>
      <c r="B4" s="44">
        <f>(n!E4)</f>
        <v>1691.3333333333333</v>
      </c>
      <c r="C4" s="45">
        <f>(sz1sz2h!N4)</f>
        <v>582.6666666666666</v>
      </c>
      <c r="D4" s="45">
        <f>(sz1sz2h!O4)</f>
        <v>135</v>
      </c>
      <c r="E4" s="46">
        <f>(sz3sz4!H4)</f>
        <v>16</v>
      </c>
      <c r="F4" s="47">
        <f>(sz3sz4!F4)</f>
        <v>957</v>
      </c>
      <c r="G4" s="54">
        <f>(adatok!U5)</f>
        <v>0.3942004420459176</v>
      </c>
      <c r="H4" s="79">
        <f t="shared" si="0"/>
        <v>18.679530153273166</v>
      </c>
      <c r="I4" s="79">
        <f t="shared" si="1"/>
        <v>8.779713685444865</v>
      </c>
      <c r="J4" s="79">
        <f t="shared" si="2"/>
        <v>33.36821616670484</v>
      </c>
      <c r="K4" s="79">
        <f t="shared" si="3"/>
        <v>8.939130434782609</v>
      </c>
      <c r="L4" s="79">
        <f t="shared" si="4"/>
        <v>27.6192026951151</v>
      </c>
      <c r="M4" s="106">
        <f t="shared" si="5"/>
        <v>97.38579313532057</v>
      </c>
      <c r="N4" s="130">
        <f aca="true" t="shared" si="9" ref="N4:N29">1028/$V$30*(0.4*G4*M4+0.6*M4)</f>
        <v>96.57909420879712</v>
      </c>
      <c r="O4" s="212">
        <f>ROUND(N4*$O$32,0)</f>
        <v>97</v>
      </c>
      <c r="P4" s="213">
        <f aca="true" t="shared" si="10" ref="P4:P29">SUM(W4:Y4)</f>
        <v>32</v>
      </c>
      <c r="Q4" s="216">
        <f aca="true" t="shared" si="11" ref="Q4:Q29">O4+P4</f>
        <v>129</v>
      </c>
      <c r="R4" s="87">
        <v>129</v>
      </c>
      <c r="S4" s="79">
        <f>elosztások!I4-elosztások!H4</f>
        <v>0</v>
      </c>
      <c r="T4">
        <f t="shared" si="6"/>
        <v>19</v>
      </c>
      <c r="U4" s="100">
        <f t="shared" si="7"/>
        <v>19</v>
      </c>
      <c r="V4" s="100">
        <f t="shared" si="8"/>
        <v>73.7872849623666</v>
      </c>
      <c r="W4" s="79"/>
      <c r="X4" s="79"/>
      <c r="Y4" s="79">
        <f>ROUND((O4*(1+$T$39/100)-O4),0)</f>
        <v>32</v>
      </c>
      <c r="Z4" s="79">
        <f>Y4</f>
        <v>32</v>
      </c>
    </row>
    <row r="5" spans="1:26" ht="12.75">
      <c r="A5" s="39" t="s">
        <v>23</v>
      </c>
      <c r="B5" s="44">
        <f>(n!E5)</f>
        <v>4</v>
      </c>
      <c r="C5" s="45">
        <f>(sz1sz2h!N5)</f>
        <v>22.666666666666668</v>
      </c>
      <c r="D5" s="45">
        <f>(sz1sz2h!O5)</f>
        <v>0</v>
      </c>
      <c r="E5" s="46">
        <f>(sz3sz4!H5)</f>
        <v>4</v>
      </c>
      <c r="F5" s="47">
        <f>(sz3sz4!F5)</f>
        <v>17</v>
      </c>
      <c r="G5" s="54">
        <f>(adatok!U6)</f>
        <v>0.3968672937491708</v>
      </c>
      <c r="H5" s="79">
        <f t="shared" si="0"/>
        <v>0.04417705199828104</v>
      </c>
      <c r="I5" s="79">
        <f t="shared" si="1"/>
        <v>0.34154492597840436</v>
      </c>
      <c r="J5" s="79">
        <f t="shared" si="2"/>
        <v>0</v>
      </c>
      <c r="K5" s="79">
        <f t="shared" si="3"/>
        <v>2.234782608695652</v>
      </c>
      <c r="L5" s="79">
        <f t="shared" si="4"/>
        <v>0.4906232453677709</v>
      </c>
      <c r="M5" s="106">
        <f t="shared" si="5"/>
        <v>3.1111278320401086</v>
      </c>
      <c r="N5" s="130">
        <f t="shared" si="9"/>
        <v>3.0897005710702534</v>
      </c>
      <c r="O5" s="212">
        <f>MAX(3,ROUND(N5*$O$32,0))</f>
        <v>3</v>
      </c>
      <c r="P5" s="213">
        <f t="shared" si="10"/>
        <v>0</v>
      </c>
      <c r="Q5" s="216">
        <f t="shared" si="11"/>
        <v>3</v>
      </c>
      <c r="R5" s="87">
        <v>3</v>
      </c>
      <c r="S5" s="79">
        <f>N5-R5</f>
        <v>0.08970057107025342</v>
      </c>
      <c r="T5">
        <f t="shared" si="6"/>
        <v>1</v>
      </c>
      <c r="U5" s="100">
        <f t="shared" si="7"/>
        <v>0.9102994289297466</v>
      </c>
      <c r="V5" s="100">
        <f t="shared" si="8"/>
        <v>2.360558652507858</v>
      </c>
      <c r="W5" s="79"/>
      <c r="X5" s="79"/>
      <c r="Y5" s="79"/>
      <c r="Z5" s="79"/>
    </row>
    <row r="6" spans="1:26" ht="12.75">
      <c r="A6" s="39" t="s">
        <v>2</v>
      </c>
      <c r="B6" s="44">
        <f>(n!E6)</f>
        <v>1587.6666666666667</v>
      </c>
      <c r="C6" s="45">
        <f>(sz1sz2h!N6)</f>
        <v>873</v>
      </c>
      <c r="D6" s="45">
        <f>(sz1sz2h!O6)</f>
        <v>162</v>
      </c>
      <c r="E6" s="46">
        <f>(sz3sz4!H6)</f>
        <v>25</v>
      </c>
      <c r="F6" s="47">
        <f>(sz3sz4!F6)</f>
        <v>1329</v>
      </c>
      <c r="G6" s="54">
        <f>(adatok!U7)</f>
        <v>0.45410569069551876</v>
      </c>
      <c r="H6" s="79">
        <f t="shared" si="0"/>
        <v>17.53460822231772</v>
      </c>
      <c r="I6" s="79">
        <f t="shared" si="1"/>
        <v>13.154502369668249</v>
      </c>
      <c r="J6" s="79">
        <f t="shared" si="2"/>
        <v>40.0418594000458</v>
      </c>
      <c r="K6" s="79">
        <f t="shared" si="3"/>
        <v>13.967391304347826</v>
      </c>
      <c r="L6" s="79">
        <f t="shared" si="4"/>
        <v>38.35519371139809</v>
      </c>
      <c r="M6" s="106">
        <f t="shared" si="5"/>
        <v>123.05355500777767</v>
      </c>
      <c r="N6" s="130">
        <f t="shared" si="9"/>
        <v>125.89364362991684</v>
      </c>
      <c r="O6" s="212">
        <f aca="true" t="shared" si="12" ref="O6:O29">ROUND(N6*$O$32,0)</f>
        <v>126</v>
      </c>
      <c r="P6" s="213">
        <f t="shared" si="10"/>
        <v>41</v>
      </c>
      <c r="Q6" s="216">
        <f t="shared" si="11"/>
        <v>167</v>
      </c>
      <c r="R6" s="87">
        <v>178</v>
      </c>
      <c r="S6" s="79">
        <f>elosztások!I6-elosztások!H6</f>
        <v>-11</v>
      </c>
      <c r="T6">
        <f t="shared" si="6"/>
        <v>26</v>
      </c>
      <c r="U6" s="100">
        <f t="shared" si="7"/>
        <v>15</v>
      </c>
      <c r="V6" s="100">
        <f t="shared" si="8"/>
        <v>96.18386084040496</v>
      </c>
      <c r="W6" s="79"/>
      <c r="X6" s="79"/>
      <c r="Y6" s="79">
        <f>ROUND((O6*(1+$T$39/100)-O6),0)</f>
        <v>41</v>
      </c>
      <c r="Z6" s="79">
        <f>Y6</f>
        <v>41</v>
      </c>
    </row>
    <row r="7" spans="1:26" ht="12.75">
      <c r="A7" s="39" t="s">
        <v>3</v>
      </c>
      <c r="B7" s="44">
        <f>(n!E7)</f>
        <v>22.666666666666668</v>
      </c>
      <c r="C7" s="45">
        <f>(sz1sz2h!N7)</f>
        <v>24.333333333333332</v>
      </c>
      <c r="D7" s="45">
        <f>(sz1sz2h!O7)</f>
        <v>3.6666666666666665</v>
      </c>
      <c r="E7" s="46">
        <f>(sz3sz4!H7)</f>
        <v>1</v>
      </c>
      <c r="F7" s="47">
        <f>(sz3sz4!F7)</f>
        <v>16</v>
      </c>
      <c r="G7" s="54">
        <f>(adatok!U8)</f>
        <v>0.47647058823529403</v>
      </c>
      <c r="H7" s="79">
        <f t="shared" si="0"/>
        <v>0.25033662799025924</v>
      </c>
      <c r="I7" s="79">
        <f t="shared" si="1"/>
        <v>0.36665852347681643</v>
      </c>
      <c r="J7" s="79">
        <f t="shared" si="2"/>
        <v>0.9062972292191436</v>
      </c>
      <c r="K7" s="79">
        <f t="shared" si="3"/>
        <v>0.558695652173913</v>
      </c>
      <c r="L7" s="79">
        <f t="shared" si="4"/>
        <v>0.4617630544637844</v>
      </c>
      <c r="M7" s="106">
        <f t="shared" si="5"/>
        <v>2.543751087323917</v>
      </c>
      <c r="N7" s="130">
        <f t="shared" si="9"/>
        <v>2.6322465001658744</v>
      </c>
      <c r="O7" s="212">
        <f t="shared" si="12"/>
        <v>3</v>
      </c>
      <c r="P7" s="213">
        <f t="shared" si="10"/>
        <v>0</v>
      </c>
      <c r="Q7" s="216">
        <f t="shared" si="11"/>
        <v>3</v>
      </c>
      <c r="R7" s="87">
        <v>3</v>
      </c>
      <c r="S7" s="79">
        <f>elosztások!I7-elosztások!H7</f>
        <v>0</v>
      </c>
      <c r="T7">
        <f t="shared" si="6"/>
        <v>1</v>
      </c>
      <c r="U7" s="100">
        <f t="shared" si="7"/>
        <v>1</v>
      </c>
      <c r="V7" s="100">
        <f t="shared" si="8"/>
        <v>2.011059683154908</v>
      </c>
      <c r="W7" s="79">
        <f>ROUND(O7*$T$37/100,0)</f>
        <v>0</v>
      </c>
      <c r="X7" s="79"/>
      <c r="Y7" s="79"/>
      <c r="Z7" s="127">
        <f>W7</f>
        <v>0</v>
      </c>
    </row>
    <row r="8" spans="1:26" ht="12.75">
      <c r="A8" s="39" t="s">
        <v>5</v>
      </c>
      <c r="B8" s="44">
        <f>(n!E8)</f>
        <v>12.666666666666666</v>
      </c>
      <c r="C8" s="45">
        <f>(sz1sz2h!N8)</f>
        <v>10.666666666666666</v>
      </c>
      <c r="D8" s="45">
        <f>(sz1sz2h!O8)</f>
        <v>1.6666666666666667</v>
      </c>
      <c r="E8" s="46">
        <f>(sz3sz4!H8)</f>
        <v>1</v>
      </c>
      <c r="F8" s="47">
        <f>(sz3sz4!F8)</f>
        <v>12</v>
      </c>
      <c r="G8" s="54">
        <f>(adatok!U9)</f>
        <v>0.22571776882121708</v>
      </c>
      <c r="H8" s="79">
        <f t="shared" si="0"/>
        <v>0.13989399799455665</v>
      </c>
      <c r="I8" s="79">
        <f t="shared" si="1"/>
        <v>0.16072702398983735</v>
      </c>
      <c r="J8" s="79">
        <f t="shared" si="2"/>
        <v>0.4119532860087017</v>
      </c>
      <c r="K8" s="79">
        <f t="shared" si="3"/>
        <v>0.558695652173913</v>
      </c>
      <c r="L8" s="79">
        <f t="shared" si="4"/>
        <v>0.3463222908478383</v>
      </c>
      <c r="M8" s="106">
        <f t="shared" si="5"/>
        <v>1.617592251014847</v>
      </c>
      <c r="N8" s="130">
        <f t="shared" si="9"/>
        <v>1.4615053763911081</v>
      </c>
      <c r="O8" s="212">
        <f t="shared" si="12"/>
        <v>1</v>
      </c>
      <c r="P8" s="213">
        <f t="shared" si="10"/>
        <v>1</v>
      </c>
      <c r="Q8" s="216">
        <f t="shared" si="11"/>
        <v>2</v>
      </c>
      <c r="R8" s="87">
        <v>3</v>
      </c>
      <c r="S8" s="79">
        <f>elosztások!I8-elosztások!H8</f>
        <v>-1</v>
      </c>
      <c r="T8">
        <f t="shared" si="6"/>
        <v>1</v>
      </c>
      <c r="U8" s="100">
        <f t="shared" si="7"/>
        <v>0</v>
      </c>
      <c r="V8" s="100">
        <f t="shared" si="8"/>
        <v>1.1166030761135328</v>
      </c>
      <c r="W8" s="79">
        <v>1</v>
      </c>
      <c r="X8" s="79"/>
      <c r="Y8" s="79"/>
      <c r="Z8" s="79">
        <f>W8</f>
        <v>1</v>
      </c>
    </row>
    <row r="9" spans="1:26" ht="12.75">
      <c r="A9" s="39" t="s">
        <v>100</v>
      </c>
      <c r="B9" s="44">
        <f>(n!E9)</f>
        <v>44.333333333333336</v>
      </c>
      <c r="C9" s="45">
        <f>(sz1sz2h!N9)</f>
        <v>0</v>
      </c>
      <c r="D9" s="45">
        <f>(sz1sz2h!O9)</f>
        <v>0</v>
      </c>
      <c r="E9" s="46">
        <f>(sz3sz4!H9)</f>
        <v>1</v>
      </c>
      <c r="F9" s="47">
        <f>(sz3sz4!F9)</f>
        <v>194</v>
      </c>
      <c r="G9" s="54">
        <f>(adatok!U10)</f>
        <v>0.4413605763552616</v>
      </c>
      <c r="H9" s="175">
        <f t="shared" si="0"/>
        <v>0.48962899298094825</v>
      </c>
      <c r="I9" s="175">
        <f t="shared" si="1"/>
        <v>0</v>
      </c>
      <c r="J9" s="175">
        <f t="shared" si="2"/>
        <v>0</v>
      </c>
      <c r="K9" s="175">
        <f t="shared" si="3"/>
        <v>0.558695652173913</v>
      </c>
      <c r="L9" s="175">
        <f t="shared" si="4"/>
        <v>5.598877035373385</v>
      </c>
      <c r="M9" s="106">
        <f t="shared" si="5"/>
        <v>6.647201680528246</v>
      </c>
      <c r="N9" s="130">
        <f t="shared" si="9"/>
        <v>6.7562646113768325</v>
      </c>
      <c r="O9" s="212">
        <f t="shared" si="12"/>
        <v>7</v>
      </c>
      <c r="P9" s="213">
        <f t="shared" si="10"/>
        <v>0</v>
      </c>
      <c r="Q9" s="216">
        <f t="shared" si="11"/>
        <v>7</v>
      </c>
      <c r="R9" s="202">
        <v>0</v>
      </c>
      <c r="S9" s="79">
        <f>elosztások!I22-elosztások!H22</f>
        <v>6</v>
      </c>
      <c r="T9" s="162">
        <f t="shared" si="6"/>
        <v>1</v>
      </c>
      <c r="U9" s="100">
        <f t="shared" si="7"/>
        <v>-5</v>
      </c>
      <c r="V9" s="100">
        <f t="shared" si="8"/>
        <v>5.161846114263992</v>
      </c>
      <c r="W9" s="176">
        <f>ROUND(O9*$T$37/100,0)</f>
        <v>0</v>
      </c>
      <c r="X9" s="175"/>
      <c r="Y9" s="175"/>
      <c r="Z9" s="79">
        <f>W9</f>
        <v>0</v>
      </c>
    </row>
    <row r="10" spans="1:26" ht="12.75">
      <c r="A10" s="39" t="s">
        <v>4</v>
      </c>
      <c r="B10" s="44">
        <f>(n!E10)</f>
        <v>2468.3333333333335</v>
      </c>
      <c r="C10" s="45">
        <f>(sz1sz2h!N10)</f>
        <v>1443.6666666666667</v>
      </c>
      <c r="D10" s="45">
        <f>(sz1sz2h!O10)</f>
        <v>320.3333333333333</v>
      </c>
      <c r="E10" s="46">
        <f>(sz3sz4!H10)</f>
        <v>17</v>
      </c>
      <c r="F10" s="47">
        <f>(sz3sz4!F10)</f>
        <v>1500</v>
      </c>
      <c r="G10" s="54">
        <f>(adatok!U11)</f>
        <v>0.4313583926800355</v>
      </c>
      <c r="H10" s="79">
        <f t="shared" si="0"/>
        <v>27.260922503939263</v>
      </c>
      <c r="I10" s="79">
        <f t="shared" si="1"/>
        <v>21.75339815312455</v>
      </c>
      <c r="J10" s="79">
        <f t="shared" si="2"/>
        <v>79.17742157087245</v>
      </c>
      <c r="K10" s="79">
        <f t="shared" si="3"/>
        <v>9.497826086956522</v>
      </c>
      <c r="L10" s="79">
        <f t="shared" si="4"/>
        <v>43.29028635597978</v>
      </c>
      <c r="M10" s="106">
        <f t="shared" si="5"/>
        <v>180.97985467087256</v>
      </c>
      <c r="N10" s="130">
        <f t="shared" si="9"/>
        <v>183.0015191630103</v>
      </c>
      <c r="O10" s="212">
        <f t="shared" si="12"/>
        <v>183</v>
      </c>
      <c r="P10" s="213">
        <f t="shared" si="10"/>
        <v>59</v>
      </c>
      <c r="Q10" s="216">
        <f t="shared" si="11"/>
        <v>242</v>
      </c>
      <c r="R10" s="87">
        <v>243</v>
      </c>
      <c r="S10" s="79">
        <f>elosztások!I9-elosztások!H9</f>
        <v>7</v>
      </c>
      <c r="T10">
        <f t="shared" si="6"/>
        <v>36</v>
      </c>
      <c r="U10" s="100">
        <f t="shared" si="7"/>
        <v>29</v>
      </c>
      <c r="V10" s="100">
        <f t="shared" si="8"/>
        <v>139.81478448984114</v>
      </c>
      <c r="W10" s="79"/>
      <c r="X10" s="79"/>
      <c r="Y10" s="79">
        <f>ROUND((O10*(1+$T$39/100)-O10),0)</f>
        <v>59</v>
      </c>
      <c r="Z10" s="79">
        <f>Y10</f>
        <v>59</v>
      </c>
    </row>
    <row r="11" spans="1:26" ht="12.75">
      <c r="A11" s="39" t="s">
        <v>6</v>
      </c>
      <c r="B11" s="44">
        <f>(n!E11)</f>
        <v>88</v>
      </c>
      <c r="C11" s="45">
        <f>(sz1sz2h!N11)</f>
        <v>53.333333333333336</v>
      </c>
      <c r="D11" s="45">
        <f>(sz1sz2h!O11)</f>
        <v>14</v>
      </c>
      <c r="E11" s="46">
        <f>(sz3sz4!H11)</f>
        <v>2</v>
      </c>
      <c r="F11" s="47">
        <f>(sz3sz4!F11)</f>
        <v>148</v>
      </c>
      <c r="G11" s="54">
        <f>(adatok!U12)</f>
        <v>0.571854134565999</v>
      </c>
      <c r="H11" s="79">
        <f t="shared" si="0"/>
        <v>0.971895143962183</v>
      </c>
      <c r="I11" s="79">
        <f t="shared" si="1"/>
        <v>0.8036351199491868</v>
      </c>
      <c r="J11" s="79">
        <f t="shared" si="2"/>
        <v>3.460407602473094</v>
      </c>
      <c r="K11" s="79">
        <f t="shared" si="3"/>
        <v>1.117391304347826</v>
      </c>
      <c r="L11" s="79">
        <f t="shared" si="4"/>
        <v>4.271308253790005</v>
      </c>
      <c r="M11" s="106">
        <f t="shared" si="5"/>
        <v>10.624637424522296</v>
      </c>
      <c r="N11" s="130">
        <f t="shared" si="9"/>
        <v>11.52483943163116</v>
      </c>
      <c r="O11" s="212">
        <f t="shared" si="12"/>
        <v>12</v>
      </c>
      <c r="P11" s="213">
        <f t="shared" si="10"/>
        <v>1</v>
      </c>
      <c r="Q11" s="216">
        <f t="shared" si="11"/>
        <v>13</v>
      </c>
      <c r="R11" s="87">
        <v>13</v>
      </c>
      <c r="S11" s="79">
        <f>elosztások!I10-elosztások!H10</f>
        <v>-1</v>
      </c>
      <c r="T11">
        <f t="shared" si="6"/>
        <v>2</v>
      </c>
      <c r="U11" s="100">
        <f t="shared" si="7"/>
        <v>1</v>
      </c>
      <c r="V11" s="100">
        <f t="shared" si="8"/>
        <v>8.805079590504466</v>
      </c>
      <c r="W11" s="137">
        <f>ROUND(O11*$T$37/100,0)</f>
        <v>1</v>
      </c>
      <c r="X11" s="79"/>
      <c r="Y11" s="79"/>
      <c r="Z11" s="79">
        <f>W11</f>
        <v>1</v>
      </c>
    </row>
    <row r="12" spans="1:27" s="162" customFormat="1" ht="12.75">
      <c r="A12" s="39" t="s">
        <v>24</v>
      </c>
      <c r="B12" s="44">
        <f>(n!E12)</f>
        <v>21.333333333333332</v>
      </c>
      <c r="C12" s="45">
        <f>(sz1sz2h!N12)</f>
        <v>54.666666666666664</v>
      </c>
      <c r="D12" s="45">
        <f>(sz1sz2h!O12)</f>
        <v>7.666666666666667</v>
      </c>
      <c r="E12" s="46">
        <f>(sz3sz4!H12)</f>
        <v>2</v>
      </c>
      <c r="F12" s="47">
        <f>(sz3sz4!F12)</f>
        <v>101</v>
      </c>
      <c r="G12" s="54">
        <f>(adatok!U13)</f>
        <v>0.4030804349640836</v>
      </c>
      <c r="H12" s="79">
        <f t="shared" si="0"/>
        <v>0.2356109439908322</v>
      </c>
      <c r="I12" s="79">
        <f t="shared" si="1"/>
        <v>0.8237259979479163</v>
      </c>
      <c r="J12" s="79">
        <f t="shared" si="2"/>
        <v>1.8949851156400277</v>
      </c>
      <c r="K12" s="79">
        <f t="shared" si="3"/>
        <v>1.117391304347826</v>
      </c>
      <c r="L12" s="79">
        <f t="shared" si="4"/>
        <v>2.9148792813026385</v>
      </c>
      <c r="M12" s="106">
        <f t="shared" si="5"/>
        <v>6.9865926432292405</v>
      </c>
      <c r="N12" s="130">
        <f t="shared" si="9"/>
        <v>6.961200702750481</v>
      </c>
      <c r="O12" s="212">
        <f t="shared" si="12"/>
        <v>7</v>
      </c>
      <c r="P12" s="213">
        <f t="shared" si="10"/>
        <v>0</v>
      </c>
      <c r="Q12" s="216">
        <f t="shared" si="11"/>
        <v>7</v>
      </c>
      <c r="R12" s="87">
        <v>7</v>
      </c>
      <c r="S12" s="79">
        <f>elosztások!I11-elosztások!H11</f>
        <v>0</v>
      </c>
      <c r="T12">
        <f t="shared" si="6"/>
        <v>1</v>
      </c>
      <c r="U12" s="100">
        <f t="shared" si="7"/>
        <v>1</v>
      </c>
      <c r="V12" s="100">
        <f t="shared" si="8"/>
        <v>5.318419106557427</v>
      </c>
      <c r="W12" s="137">
        <f>ROUND(O12*$T$37/100,0)</f>
        <v>0</v>
      </c>
      <c r="X12" s="79"/>
      <c r="Y12" s="79"/>
      <c r="Z12" s="79">
        <f>W12</f>
        <v>0</v>
      </c>
      <c r="AA12"/>
    </row>
    <row r="13" spans="1:27" ht="12.75">
      <c r="A13" s="39" t="s">
        <v>25</v>
      </c>
      <c r="B13" s="44">
        <f>(n!E13)</f>
        <v>0</v>
      </c>
      <c r="C13" s="45">
        <f>(sz1sz2h!N13)</f>
        <v>0</v>
      </c>
      <c r="D13" s="45">
        <f>(sz1sz2h!O13)</f>
        <v>0</v>
      </c>
      <c r="E13" s="46">
        <v>0</v>
      </c>
      <c r="F13" s="47">
        <f>(sz3sz4!F13)</f>
        <v>0</v>
      </c>
      <c r="G13" s="54">
        <f>(adatok!U14)</f>
        <v>0</v>
      </c>
      <c r="H13" s="175">
        <f t="shared" si="0"/>
        <v>0</v>
      </c>
      <c r="I13" s="175">
        <f t="shared" si="1"/>
        <v>0</v>
      </c>
      <c r="J13" s="175">
        <f t="shared" si="2"/>
        <v>0</v>
      </c>
      <c r="K13" s="175">
        <f t="shared" si="3"/>
        <v>0</v>
      </c>
      <c r="L13" s="175">
        <f t="shared" si="4"/>
        <v>0</v>
      </c>
      <c r="M13" s="106">
        <f t="shared" si="5"/>
        <v>0</v>
      </c>
      <c r="N13" s="130">
        <f t="shared" si="9"/>
        <v>0</v>
      </c>
      <c r="O13" s="212">
        <f t="shared" si="12"/>
        <v>0</v>
      </c>
      <c r="P13" s="213">
        <f t="shared" si="10"/>
        <v>0</v>
      </c>
      <c r="Q13" s="216">
        <v>5</v>
      </c>
      <c r="R13" s="209">
        <v>0</v>
      </c>
      <c r="S13" s="79">
        <f>elosztások!I12-elosztások!H12</f>
        <v>0</v>
      </c>
      <c r="T13" s="162">
        <f t="shared" si="6"/>
        <v>1</v>
      </c>
      <c r="U13" s="100">
        <f t="shared" si="7"/>
        <v>1</v>
      </c>
      <c r="V13" s="175">
        <f t="shared" si="8"/>
        <v>0</v>
      </c>
      <c r="W13" s="137"/>
      <c r="X13" s="175"/>
      <c r="Y13" s="175"/>
      <c r="Z13" s="175">
        <f>W13</f>
        <v>0</v>
      </c>
      <c r="AA13" s="162"/>
    </row>
    <row r="14" spans="1:26" ht="12.75">
      <c r="A14" s="39" t="s">
        <v>7</v>
      </c>
      <c r="B14" s="44">
        <f>(n!E14)</f>
        <v>81.66666666666667</v>
      </c>
      <c r="C14" s="45">
        <f>(sz1sz2h!N14)</f>
        <v>43</v>
      </c>
      <c r="D14" s="45">
        <f>(sz1sz2h!O14)</f>
        <v>18</v>
      </c>
      <c r="E14" s="46">
        <f>(sz3sz4!H14)</f>
        <v>2</v>
      </c>
      <c r="F14" s="47">
        <f>(sz3sz4!F14)</f>
        <v>52</v>
      </c>
      <c r="G14" s="54">
        <f>(adatok!U15)</f>
        <v>0.7571815718157181</v>
      </c>
      <c r="H14" s="79">
        <f t="shared" si="0"/>
        <v>0.9019481449649047</v>
      </c>
      <c r="I14" s="79">
        <f t="shared" si="1"/>
        <v>0.6479308154590318</v>
      </c>
      <c r="J14" s="79">
        <f t="shared" si="2"/>
        <v>4.4490954888939775</v>
      </c>
      <c r="K14" s="79">
        <f t="shared" si="3"/>
        <v>1.117391304347826</v>
      </c>
      <c r="L14" s="79">
        <f t="shared" si="4"/>
        <v>1.5007299270072991</v>
      </c>
      <c r="M14" s="106">
        <f t="shared" si="5"/>
        <v>8.617095680673039</v>
      </c>
      <c r="N14" s="130">
        <f t="shared" si="9"/>
        <v>10.183310822517601</v>
      </c>
      <c r="O14" s="212">
        <f t="shared" si="12"/>
        <v>10</v>
      </c>
      <c r="P14" s="213">
        <f t="shared" si="10"/>
        <v>1</v>
      </c>
      <c r="Q14" s="216">
        <f t="shared" si="11"/>
        <v>11</v>
      </c>
      <c r="R14" s="87">
        <v>12</v>
      </c>
      <c r="S14" s="79">
        <f>elosztások!I13-elosztások!H13</f>
        <v>3</v>
      </c>
      <c r="T14">
        <f t="shared" si="6"/>
        <v>2</v>
      </c>
      <c r="U14" s="100">
        <f t="shared" si="7"/>
        <v>-1</v>
      </c>
      <c r="V14" s="100">
        <f t="shared" si="8"/>
        <v>7.7801398291952015</v>
      </c>
      <c r="W14" s="137">
        <f>ROUND(O14*$T$37/100,0)</f>
        <v>1</v>
      </c>
      <c r="X14" s="79"/>
      <c r="Y14" s="79"/>
      <c r="Z14" s="79">
        <f>W14</f>
        <v>1</v>
      </c>
    </row>
    <row r="15" spans="1:26" ht="12.75">
      <c r="A15" s="39" t="s">
        <v>9</v>
      </c>
      <c r="B15" s="44">
        <f>(n!E15)</f>
        <v>718.6666666666666</v>
      </c>
      <c r="C15" s="45">
        <f>(sz1sz2h!N15)</f>
        <v>198</v>
      </c>
      <c r="D15" s="45">
        <f>(sz1sz2h!O15)</f>
        <v>43.666666666666664</v>
      </c>
      <c r="E15" s="46">
        <f>(sz3sz4!H15)</f>
        <v>7</v>
      </c>
      <c r="F15" s="47">
        <f>(sz3sz4!F15)</f>
        <v>442</v>
      </c>
      <c r="G15" s="54">
        <f>(adatok!U16)</f>
        <v>0.305247650467532</v>
      </c>
      <c r="H15" s="79">
        <f t="shared" si="0"/>
        <v>7.937143675691161</v>
      </c>
      <c r="I15" s="79">
        <f t="shared" si="1"/>
        <v>2.983495382811356</v>
      </c>
      <c r="J15" s="79">
        <f t="shared" si="2"/>
        <v>10.793176093427983</v>
      </c>
      <c r="K15" s="79">
        <f t="shared" si="3"/>
        <v>3.910869565217392</v>
      </c>
      <c r="L15" s="79">
        <f t="shared" si="4"/>
        <v>12.756204379562043</v>
      </c>
      <c r="M15" s="106">
        <f t="shared" si="5"/>
        <v>38.380889096709936</v>
      </c>
      <c r="N15" s="130">
        <f t="shared" si="9"/>
        <v>36.27550007609429</v>
      </c>
      <c r="O15" s="212">
        <f t="shared" si="12"/>
        <v>36</v>
      </c>
      <c r="P15" s="213">
        <f t="shared" si="10"/>
        <v>7</v>
      </c>
      <c r="Q15" s="216">
        <f t="shared" si="11"/>
        <v>43</v>
      </c>
      <c r="R15" s="87">
        <v>46</v>
      </c>
      <c r="S15" s="79">
        <f>elosztások!I14-elosztások!H14</f>
        <v>-1</v>
      </c>
      <c r="T15">
        <f t="shared" si="6"/>
        <v>6</v>
      </c>
      <c r="U15" s="100">
        <f t="shared" si="7"/>
        <v>5</v>
      </c>
      <c r="V15" s="100">
        <f t="shared" si="8"/>
        <v>27.714803945876213</v>
      </c>
      <c r="W15" s="137"/>
      <c r="X15" s="79">
        <f>ROUND((O15*(1+$T$38/100)-O15),0)</f>
        <v>7</v>
      </c>
      <c r="Y15" s="79"/>
      <c r="Z15" s="79">
        <f>X15</f>
        <v>7</v>
      </c>
    </row>
    <row r="16" spans="1:26" ht="12.75">
      <c r="A16" s="39" t="s">
        <v>8</v>
      </c>
      <c r="B16" s="44">
        <f>(n!E16)</f>
        <v>77.66666666666667</v>
      </c>
      <c r="C16" s="45">
        <f>(sz1sz2h!N16)</f>
        <v>25.333333333333332</v>
      </c>
      <c r="D16" s="45">
        <f>(sz1sz2h!O16)</f>
        <v>9</v>
      </c>
      <c r="E16" s="46">
        <f>(sz3sz4!H16)</f>
        <v>1</v>
      </c>
      <c r="F16" s="47">
        <f>(sz3sz4!F16)</f>
        <v>47</v>
      </c>
      <c r="G16" s="54">
        <f>(adatok!U17)</f>
        <v>0.6008714596949892</v>
      </c>
      <c r="H16" s="79">
        <f t="shared" si="0"/>
        <v>0.8577710929666237</v>
      </c>
      <c r="I16" s="79">
        <f t="shared" si="1"/>
        <v>0.3817266819758637</v>
      </c>
      <c r="J16" s="79">
        <f t="shared" si="2"/>
        <v>2.2245477444469888</v>
      </c>
      <c r="K16" s="79">
        <f t="shared" si="3"/>
        <v>0.558695652173913</v>
      </c>
      <c r="L16" s="79">
        <f t="shared" si="4"/>
        <v>1.3564289724873666</v>
      </c>
      <c r="M16" s="106">
        <f t="shared" si="5"/>
        <v>5.3791701440507556</v>
      </c>
      <c r="N16" s="130">
        <f t="shared" si="9"/>
        <v>5.916656429339805</v>
      </c>
      <c r="O16" s="212">
        <f t="shared" si="12"/>
        <v>6</v>
      </c>
      <c r="P16" s="213">
        <f t="shared" si="10"/>
        <v>0</v>
      </c>
      <c r="Q16" s="216">
        <f t="shared" si="11"/>
        <v>6</v>
      </c>
      <c r="R16" s="87">
        <v>7</v>
      </c>
      <c r="S16" s="79">
        <f>elosztások!I15-elosztások!H15</f>
        <v>-3</v>
      </c>
      <c r="T16">
        <f t="shared" si="6"/>
        <v>1</v>
      </c>
      <c r="U16" s="100">
        <f t="shared" si="7"/>
        <v>-2</v>
      </c>
      <c r="V16" s="100">
        <f t="shared" si="8"/>
        <v>4.520378012991847</v>
      </c>
      <c r="W16" s="137">
        <f>ROUND(O16*$T$37/100,0)</f>
        <v>0</v>
      </c>
      <c r="X16" s="79"/>
      <c r="Y16" s="79"/>
      <c r="Z16" s="79">
        <f>W16</f>
        <v>0</v>
      </c>
    </row>
    <row r="17" spans="1:26" ht="12.75">
      <c r="A17" s="39" t="s">
        <v>22</v>
      </c>
      <c r="B17" s="44">
        <f>(n!E17)</f>
        <v>96</v>
      </c>
      <c r="C17" s="45">
        <f>(sz1sz2h!N17)</f>
        <v>57</v>
      </c>
      <c r="D17" s="45">
        <f>(sz1sz2h!O17)</f>
        <v>11.333333333333334</v>
      </c>
      <c r="E17" s="46">
        <f>(sz3sz4!H17)</f>
        <v>3</v>
      </c>
      <c r="F17" s="47">
        <f>(sz3sz4!F17)</f>
        <v>52</v>
      </c>
      <c r="G17" s="54">
        <f>(adatok!U18)</f>
        <v>0.2937373737373737</v>
      </c>
      <c r="H17" s="79">
        <f t="shared" si="0"/>
        <v>1.060249247958745</v>
      </c>
      <c r="I17" s="79">
        <f t="shared" si="1"/>
        <v>0.8588850344456933</v>
      </c>
      <c r="J17" s="79">
        <f t="shared" si="2"/>
        <v>2.8012823448591715</v>
      </c>
      <c r="K17" s="79">
        <f t="shared" si="3"/>
        <v>1.6760869565217393</v>
      </c>
      <c r="L17" s="79">
        <f t="shared" si="4"/>
        <v>1.5007299270072991</v>
      </c>
      <c r="M17" s="106">
        <f t="shared" si="5"/>
        <v>7.897233510792649</v>
      </c>
      <c r="N17" s="130">
        <f t="shared" si="9"/>
        <v>7.416438939528738</v>
      </c>
      <c r="O17" s="212">
        <f t="shared" si="12"/>
        <v>7</v>
      </c>
      <c r="P17" s="213">
        <f t="shared" si="10"/>
        <v>0</v>
      </c>
      <c r="Q17" s="216">
        <f t="shared" si="11"/>
        <v>7</v>
      </c>
      <c r="R17" s="87">
        <v>7</v>
      </c>
      <c r="S17" s="79">
        <f>elosztások!I16-elosztások!H16</f>
        <v>-1</v>
      </c>
      <c r="T17">
        <f t="shared" si="6"/>
        <v>1</v>
      </c>
      <c r="U17" s="100">
        <f t="shared" si="7"/>
        <v>0</v>
      </c>
      <c r="V17" s="100">
        <f t="shared" si="8"/>
        <v>5.666225158975994</v>
      </c>
      <c r="W17" s="137">
        <f>ROUND(O17*$T$37/100,0)</f>
        <v>0</v>
      </c>
      <c r="X17" s="79"/>
      <c r="Y17" s="79"/>
      <c r="Z17" s="79">
        <f>W17</f>
        <v>0</v>
      </c>
    </row>
    <row r="18" spans="1:26" ht="12.75">
      <c r="A18" s="39" t="s">
        <v>10</v>
      </c>
      <c r="B18" s="44">
        <f>(n!E18)</f>
        <v>317</v>
      </c>
      <c r="C18" s="45">
        <f>(sz1sz2h!N18)</f>
        <v>126.33333333333333</v>
      </c>
      <c r="D18" s="45">
        <f>(sz1sz2h!O18)</f>
        <v>39</v>
      </c>
      <c r="E18" s="46">
        <f>(sz3sz4!H18)</f>
        <v>6</v>
      </c>
      <c r="F18" s="47">
        <f>(sz3sz4!F18)</f>
        <v>443</v>
      </c>
      <c r="G18" s="54">
        <f>(adatok!U19)</f>
        <v>0.3121927763621791</v>
      </c>
      <c r="H18" s="79">
        <f t="shared" si="0"/>
        <v>3.5010313708637733</v>
      </c>
      <c r="I18" s="79">
        <f t="shared" si="1"/>
        <v>1.903610690379636</v>
      </c>
      <c r="J18" s="79">
        <f t="shared" si="2"/>
        <v>9.63970689260362</v>
      </c>
      <c r="K18" s="79">
        <f t="shared" si="3"/>
        <v>3.3521739130434787</v>
      </c>
      <c r="L18" s="79">
        <f t="shared" si="4"/>
        <v>12.78506457046603</v>
      </c>
      <c r="M18" s="106">
        <f t="shared" si="5"/>
        <v>31.181587437356537</v>
      </c>
      <c r="N18" s="130">
        <f t="shared" si="9"/>
        <v>29.584498021103578</v>
      </c>
      <c r="O18" s="212">
        <f t="shared" si="12"/>
        <v>30</v>
      </c>
      <c r="P18" s="213">
        <f t="shared" si="10"/>
        <v>2</v>
      </c>
      <c r="Q18" s="216">
        <f t="shared" si="11"/>
        <v>32</v>
      </c>
      <c r="R18" s="87">
        <v>33</v>
      </c>
      <c r="S18" s="79">
        <f>elosztások!I17-elosztások!H17</f>
        <v>0</v>
      </c>
      <c r="T18">
        <f t="shared" si="6"/>
        <v>4</v>
      </c>
      <c r="U18" s="100">
        <f t="shared" si="7"/>
        <v>4</v>
      </c>
      <c r="V18" s="100">
        <f t="shared" si="8"/>
        <v>22.602819003793275</v>
      </c>
      <c r="W18" s="137">
        <f>ROUND(O18*$T$37/100,0)</f>
        <v>2</v>
      </c>
      <c r="X18" s="79"/>
      <c r="Y18" s="79"/>
      <c r="Z18" s="79">
        <f>W18</f>
        <v>2</v>
      </c>
    </row>
    <row r="19" spans="1:26" ht="12.75">
      <c r="A19" s="39" t="s">
        <v>99</v>
      </c>
      <c r="B19" s="44">
        <f>(n!E19)</f>
        <v>4.666666666666667</v>
      </c>
      <c r="C19" s="45">
        <f>(sz1sz2h!N19)</f>
        <v>3.6666666666666665</v>
      </c>
      <c r="D19" s="45">
        <f>(sz1sz2h!O19)</f>
        <v>0</v>
      </c>
      <c r="E19" s="46">
        <f>(sz3sz4!H19)</f>
        <v>3</v>
      </c>
      <c r="F19" s="47">
        <f>(sz3sz4!F19)</f>
        <v>133</v>
      </c>
      <c r="G19" s="54">
        <f>(adatok!U20)</f>
        <v>0.3968672937491708</v>
      </c>
      <c r="H19" s="79">
        <f t="shared" si="0"/>
        <v>0.05153989399799456</v>
      </c>
      <c r="I19" s="79">
        <f t="shared" si="1"/>
        <v>0.05524991449650658</v>
      </c>
      <c r="J19" s="79">
        <f t="shared" si="2"/>
        <v>0</v>
      </c>
      <c r="K19" s="79">
        <f t="shared" si="3"/>
        <v>1.6760869565217393</v>
      </c>
      <c r="L19" s="79">
        <f t="shared" si="4"/>
        <v>3.8384053902302075</v>
      </c>
      <c r="M19" s="106">
        <f t="shared" si="5"/>
        <v>5.621282155246448</v>
      </c>
      <c r="N19" s="130">
        <f t="shared" si="9"/>
        <v>5.582566716271164</v>
      </c>
      <c r="O19" s="212">
        <f t="shared" si="12"/>
        <v>6</v>
      </c>
      <c r="P19" s="213">
        <f t="shared" si="10"/>
        <v>0</v>
      </c>
      <c r="Q19" s="216">
        <f t="shared" si="11"/>
        <v>6</v>
      </c>
      <c r="R19" s="87">
        <v>3</v>
      </c>
      <c r="S19" s="79">
        <f>elosztások!I21-elosztások!H21</f>
        <v>-2</v>
      </c>
      <c r="T19">
        <f t="shared" si="6"/>
        <v>1</v>
      </c>
      <c r="U19" s="100">
        <f t="shared" si="7"/>
        <v>-1</v>
      </c>
      <c r="V19" s="100">
        <f t="shared" si="8"/>
        <v>4.265130507689134</v>
      </c>
      <c r="W19" s="137">
        <f>ROUND(O19*$T$37/100,0)</f>
        <v>0</v>
      </c>
      <c r="X19" s="79"/>
      <c r="Y19" s="79"/>
      <c r="Z19" s="79">
        <f>W19</f>
        <v>0</v>
      </c>
    </row>
    <row r="20" spans="1:26" ht="12.75">
      <c r="A20" s="39" t="s">
        <v>26</v>
      </c>
      <c r="B20" s="44">
        <f>(n!E20)</f>
        <v>3.3333333333333335</v>
      </c>
      <c r="C20" s="45">
        <f>(sz1sz2h!N20)</f>
        <v>17</v>
      </c>
      <c r="D20" s="45">
        <f>(sz1sz2h!O20)</f>
        <v>1.6666666666666667</v>
      </c>
      <c r="E20" s="46">
        <f>(sz3sz4!H20)</f>
        <v>1</v>
      </c>
      <c r="F20" s="47">
        <f>(sz3sz4!F20)</f>
        <v>38</v>
      </c>
      <c r="G20" s="54">
        <f>(adatok!U21)</f>
        <v>0.21527142504153998</v>
      </c>
      <c r="H20" s="79">
        <f t="shared" si="0"/>
        <v>0.03681420999856754</v>
      </c>
      <c r="I20" s="79">
        <f t="shared" si="1"/>
        <v>0.25615869448380324</v>
      </c>
      <c r="J20" s="79">
        <f t="shared" si="2"/>
        <v>0.4119532860087017</v>
      </c>
      <c r="K20" s="79">
        <f t="shared" si="3"/>
        <v>0.558695652173913</v>
      </c>
      <c r="L20" s="79">
        <f t="shared" si="4"/>
        <v>1.0966872543514878</v>
      </c>
      <c r="M20" s="106">
        <f t="shared" si="5"/>
        <v>2.360309097016473</v>
      </c>
      <c r="N20" s="130">
        <f t="shared" si="9"/>
        <v>2.119645930422829</v>
      </c>
      <c r="O20" s="212">
        <f t="shared" si="12"/>
        <v>2</v>
      </c>
      <c r="P20" s="213">
        <f t="shared" si="10"/>
        <v>0</v>
      </c>
      <c r="Q20" s="216">
        <f t="shared" si="11"/>
        <v>2</v>
      </c>
      <c r="R20" s="87">
        <v>3</v>
      </c>
      <c r="S20" s="79">
        <f>elosztások!I18-elosztások!H18</f>
        <v>-1</v>
      </c>
      <c r="T20">
        <f t="shared" si="6"/>
        <v>1</v>
      </c>
      <c r="U20" s="100">
        <f t="shared" si="7"/>
        <v>0</v>
      </c>
      <c r="V20" s="100">
        <f t="shared" si="8"/>
        <v>1.6194282993511826</v>
      </c>
      <c r="W20" s="137">
        <f>ROUND(O20*$T$37/100,0)</f>
        <v>0</v>
      </c>
      <c r="X20" s="79"/>
      <c r="Y20" s="79"/>
      <c r="Z20" s="79">
        <f>W20</f>
        <v>0</v>
      </c>
    </row>
    <row r="21" spans="1:26" ht="12.75">
      <c r="A21" s="39" t="s">
        <v>19</v>
      </c>
      <c r="B21" s="44">
        <f>(n!E21)</f>
        <v>495.6666666666667</v>
      </c>
      <c r="C21" s="45">
        <f>(sz1sz2h!N21)</f>
        <v>172.33333333333334</v>
      </c>
      <c r="D21" s="45">
        <f>(sz1sz2h!O21)</f>
        <v>50.333333333333336</v>
      </c>
      <c r="E21" s="46">
        <f>(sz3sz4!H21)</f>
        <v>9</v>
      </c>
      <c r="F21" s="47">
        <f>(sz3sz4!F21)</f>
        <v>334</v>
      </c>
      <c r="G21" s="54">
        <f>(adatok!U22)</f>
        <v>0.3698474339261381</v>
      </c>
      <c r="H21" s="79">
        <f t="shared" si="0"/>
        <v>5.474273026786992</v>
      </c>
      <c r="I21" s="79">
        <f t="shared" si="1"/>
        <v>2.59674598133581</v>
      </c>
      <c r="J21" s="79">
        <f t="shared" si="2"/>
        <v>12.44098923746279</v>
      </c>
      <c r="K21" s="79">
        <f t="shared" si="3"/>
        <v>5.0282608695652184</v>
      </c>
      <c r="L21" s="79">
        <f t="shared" si="4"/>
        <v>9.6393037619315</v>
      </c>
      <c r="M21" s="106">
        <f t="shared" si="5"/>
        <v>35.17957287708231</v>
      </c>
      <c r="N21" s="130">
        <f t="shared" si="9"/>
        <v>34.439617841813536</v>
      </c>
      <c r="O21" s="212">
        <f t="shared" si="12"/>
        <v>34</v>
      </c>
      <c r="P21" s="213">
        <f t="shared" si="10"/>
        <v>7</v>
      </c>
      <c r="Q21" s="216">
        <f t="shared" si="11"/>
        <v>41</v>
      </c>
      <c r="R21" s="87">
        <v>43</v>
      </c>
      <c r="S21" s="79">
        <f>elosztások!I19-elosztások!H19</f>
        <v>3</v>
      </c>
      <c r="T21">
        <f t="shared" si="6"/>
        <v>6</v>
      </c>
      <c r="U21" s="100">
        <f t="shared" si="7"/>
        <v>3</v>
      </c>
      <c r="V21" s="100">
        <f t="shared" si="8"/>
        <v>26.31217362833197</v>
      </c>
      <c r="W21" s="137"/>
      <c r="X21" s="79">
        <f>ROUND((O21*(1+$T$38/100)-O21),0)</f>
        <v>7</v>
      </c>
      <c r="Y21" s="79"/>
      <c r="Z21" s="79">
        <f>X21</f>
        <v>7</v>
      </c>
    </row>
    <row r="22" spans="1:26" ht="12.75">
      <c r="A22" s="39" t="s">
        <v>12</v>
      </c>
      <c r="B22" s="44">
        <f>(n!E22)</f>
        <v>629.6666666666666</v>
      </c>
      <c r="C22" s="45">
        <f>(sz1sz2h!N22)</f>
        <v>260.3333333333333</v>
      </c>
      <c r="D22" s="45">
        <f>(sz1sz2h!O22)</f>
        <v>28.666666666666668</v>
      </c>
      <c r="E22" s="46">
        <f>(sz3sz4!H22)</f>
        <v>8</v>
      </c>
      <c r="F22" s="47">
        <f>(sz3sz4!F22)</f>
        <v>320</v>
      </c>
      <c r="G22" s="54">
        <f>(adatok!U23)</f>
        <v>0.24847245782380098</v>
      </c>
      <c r="H22" s="79">
        <f t="shared" si="0"/>
        <v>6.9542042687294074</v>
      </c>
      <c r="I22" s="79">
        <f t="shared" si="1"/>
        <v>3.922743929251968</v>
      </c>
      <c r="J22" s="79">
        <f t="shared" si="2"/>
        <v>7.08559651934967</v>
      </c>
      <c r="K22" s="79">
        <f t="shared" si="3"/>
        <v>4.469565217391304</v>
      </c>
      <c r="L22" s="79">
        <f t="shared" si="4"/>
        <v>9.235261089275687</v>
      </c>
      <c r="M22" s="106">
        <f t="shared" si="5"/>
        <v>31.667371023998037</v>
      </c>
      <c r="N22" s="130">
        <f t="shared" si="9"/>
        <v>28.98894396307624</v>
      </c>
      <c r="O22" s="212">
        <f t="shared" si="12"/>
        <v>29</v>
      </c>
      <c r="P22" s="213">
        <f t="shared" si="10"/>
        <v>2</v>
      </c>
      <c r="Q22" s="216">
        <f t="shared" si="11"/>
        <v>31</v>
      </c>
      <c r="R22" s="87">
        <v>25</v>
      </c>
      <c r="S22" s="79">
        <f>elosztások!I20-elosztások!H20</f>
        <v>-1</v>
      </c>
      <c r="T22">
        <f t="shared" si="6"/>
        <v>3</v>
      </c>
      <c r="U22" s="100">
        <f t="shared" si="7"/>
        <v>2</v>
      </c>
      <c r="V22" s="100">
        <f t="shared" si="8"/>
        <v>22.147810418859226</v>
      </c>
      <c r="W22" s="137">
        <f>ROUND(O22*$T$37/100,0)</f>
        <v>2</v>
      </c>
      <c r="X22" s="79"/>
      <c r="Y22" s="79"/>
      <c r="Z22" s="79">
        <f>W22</f>
        <v>2</v>
      </c>
    </row>
    <row r="23" spans="1:26" ht="12.75">
      <c r="A23" s="39" t="s">
        <v>13</v>
      </c>
      <c r="B23" s="44">
        <f>(n!E23)</f>
        <v>1244.3333333333333</v>
      </c>
      <c r="C23" s="45">
        <f>(sz1sz2h!N23)</f>
        <v>883</v>
      </c>
      <c r="D23" s="45">
        <f>(sz1sz2h!O23)</f>
        <v>152.33333333333334</v>
      </c>
      <c r="E23" s="46">
        <f>(sz3sz4!H23)</f>
        <v>24</v>
      </c>
      <c r="F23" s="47">
        <f>(sz3sz4!F23)</f>
        <v>1176</v>
      </c>
      <c r="G23" s="54">
        <f>(adatok!U24)</f>
        <v>0.295481340439975</v>
      </c>
      <c r="H23" s="79">
        <f t="shared" si="0"/>
        <v>13.742744592465263</v>
      </c>
      <c r="I23" s="79">
        <f t="shared" si="1"/>
        <v>13.305183954658721</v>
      </c>
      <c r="J23" s="79">
        <f t="shared" si="2"/>
        <v>37.65253034119534</v>
      </c>
      <c r="K23" s="79">
        <f t="shared" si="3"/>
        <v>13.408695652173915</v>
      </c>
      <c r="L23" s="79">
        <f t="shared" si="4"/>
        <v>33.93958450308815</v>
      </c>
      <c r="M23" s="106">
        <f t="shared" si="5"/>
        <v>112.04873904358138</v>
      </c>
      <c r="N23" s="130">
        <f t="shared" si="9"/>
        <v>105.32936313792712</v>
      </c>
      <c r="O23" s="212">
        <f t="shared" si="12"/>
        <v>105</v>
      </c>
      <c r="P23" s="213">
        <f t="shared" si="10"/>
        <v>20</v>
      </c>
      <c r="Q23" s="216">
        <f t="shared" si="11"/>
        <v>125</v>
      </c>
      <c r="R23" s="87">
        <v>124</v>
      </c>
      <c r="S23" s="79">
        <f>elosztások!I21-elosztások!H21</f>
        <v>-2</v>
      </c>
      <c r="T23">
        <f t="shared" si="6"/>
        <v>18</v>
      </c>
      <c r="U23" s="100">
        <f t="shared" si="7"/>
        <v>16</v>
      </c>
      <c r="V23" s="100">
        <f t="shared" si="8"/>
        <v>80.47256806903138</v>
      </c>
      <c r="W23" s="137"/>
      <c r="X23" s="79">
        <f>ROUND((O23*(1+$T$38/100)-O23),0)</f>
        <v>20</v>
      </c>
      <c r="Y23" s="79"/>
      <c r="Z23" s="79">
        <f>X23</f>
        <v>20</v>
      </c>
    </row>
    <row r="24" spans="1:26" ht="12.75">
      <c r="A24" s="39" t="s">
        <v>14</v>
      </c>
      <c r="B24" s="44">
        <f>(n!E24)</f>
        <v>695.3333333333334</v>
      </c>
      <c r="C24" s="45">
        <f>(sz1sz2h!N24)</f>
        <v>346.3333333333333</v>
      </c>
      <c r="D24" s="45">
        <f>(sz1sz2h!O24)</f>
        <v>142</v>
      </c>
      <c r="E24" s="46">
        <f>(sz3sz4!H24)</f>
        <v>7</v>
      </c>
      <c r="F24" s="47">
        <f>(sz3sz4!F24)</f>
        <v>734</v>
      </c>
      <c r="G24" s="54">
        <f>(adatok!U25)</f>
        <v>0.510654571811922</v>
      </c>
      <c r="H24" s="79">
        <f t="shared" si="0"/>
        <v>7.679444205701189</v>
      </c>
      <c r="I24" s="79">
        <f t="shared" si="1"/>
        <v>5.218605560170031</v>
      </c>
      <c r="J24" s="79">
        <f t="shared" si="2"/>
        <v>35.09841996794138</v>
      </c>
      <c r="K24" s="79">
        <f t="shared" si="3"/>
        <v>3.910869565217392</v>
      </c>
      <c r="L24" s="79">
        <f t="shared" si="4"/>
        <v>21.183380123526106</v>
      </c>
      <c r="M24" s="106">
        <f t="shared" si="5"/>
        <v>73.0907194225561</v>
      </c>
      <c r="N24" s="130">
        <f t="shared" si="9"/>
        <v>76.94161378318812</v>
      </c>
      <c r="O24" s="212">
        <f t="shared" si="12"/>
        <v>77</v>
      </c>
      <c r="P24" s="213">
        <f t="shared" si="10"/>
        <v>25</v>
      </c>
      <c r="Q24" s="216">
        <f t="shared" si="11"/>
        <v>102</v>
      </c>
      <c r="R24" s="87">
        <v>98</v>
      </c>
      <c r="S24" s="79">
        <f>elosztások!I22-elosztások!H22</f>
        <v>6</v>
      </c>
      <c r="T24">
        <f t="shared" si="6"/>
        <v>14</v>
      </c>
      <c r="U24" s="100">
        <f t="shared" si="7"/>
        <v>8</v>
      </c>
      <c r="V24" s="100">
        <f t="shared" si="8"/>
        <v>58.784075665593946</v>
      </c>
      <c r="W24" s="137"/>
      <c r="X24" s="79"/>
      <c r="Y24" s="79">
        <f>ROUND((O24*(1+$T$39/100)-O24),0)</f>
        <v>25</v>
      </c>
      <c r="Z24" s="79">
        <f>Y24</f>
        <v>25</v>
      </c>
    </row>
    <row r="25" spans="1:26" ht="12.75">
      <c r="A25" s="39" t="s">
        <v>15</v>
      </c>
      <c r="B25" s="44">
        <f>(n!E25)</f>
        <v>231</v>
      </c>
      <c r="C25" s="45">
        <f>(sz1sz2h!N25)</f>
        <v>153.33333333333334</v>
      </c>
      <c r="D25" s="45">
        <f>(sz1sz2h!O25)</f>
        <v>11.333333333333334</v>
      </c>
      <c r="E25" s="46">
        <f>(sz3sz4!H25)</f>
        <v>6</v>
      </c>
      <c r="F25" s="47">
        <f>(sz3sz4!F25)</f>
        <v>221</v>
      </c>
      <c r="G25" s="54">
        <f>(adatok!U26)</f>
        <v>0.12739820039358443</v>
      </c>
      <c r="H25" s="79">
        <f t="shared" si="0"/>
        <v>2.55122475290073</v>
      </c>
      <c r="I25" s="79">
        <f t="shared" si="1"/>
        <v>2.310450969853912</v>
      </c>
      <c r="J25" s="79">
        <f t="shared" si="2"/>
        <v>2.8012823448591715</v>
      </c>
      <c r="K25" s="79">
        <f t="shared" si="3"/>
        <v>3.3521739130434787</v>
      </c>
      <c r="L25" s="79">
        <f t="shared" si="4"/>
        <v>6.378102189781021</v>
      </c>
      <c r="M25" s="106">
        <f t="shared" si="5"/>
        <v>17.393234170438312</v>
      </c>
      <c r="N25" s="130">
        <f t="shared" si="9"/>
        <v>14.819575516863313</v>
      </c>
      <c r="O25" s="212">
        <f t="shared" si="12"/>
        <v>15</v>
      </c>
      <c r="P25" s="213">
        <f t="shared" si="10"/>
        <v>1</v>
      </c>
      <c r="Q25" s="216">
        <f t="shared" si="11"/>
        <v>16</v>
      </c>
      <c r="R25" s="87">
        <v>11</v>
      </c>
      <c r="S25" s="79">
        <f>elosztások!I23-elosztások!H23</f>
        <v>2</v>
      </c>
      <c r="T25">
        <f t="shared" si="6"/>
        <v>2</v>
      </c>
      <c r="U25" s="100">
        <f t="shared" si="7"/>
        <v>0</v>
      </c>
      <c r="V25" s="100">
        <f t="shared" si="8"/>
        <v>11.322287195198204</v>
      </c>
      <c r="W25" s="137">
        <f>ROUND(O25*$T$37/100,0)</f>
        <v>1</v>
      </c>
      <c r="X25" s="79"/>
      <c r="Y25" s="79"/>
      <c r="Z25" s="79">
        <f>W25</f>
        <v>1</v>
      </c>
    </row>
    <row r="26" spans="1:26" ht="12.75">
      <c r="A26" s="39" t="s">
        <v>18</v>
      </c>
      <c r="B26" s="44">
        <f>(n!E26)</f>
        <v>34</v>
      </c>
      <c r="C26" s="45">
        <f>(sz1sz2h!N26)</f>
        <v>38.333333333333336</v>
      </c>
      <c r="D26" s="45">
        <f>(sz1sz2h!O26)</f>
        <v>5</v>
      </c>
      <c r="E26" s="46">
        <f>(sz3sz4!H26)</f>
        <v>2</v>
      </c>
      <c r="F26" s="47">
        <f>(sz3sz4!F26)</f>
        <v>47</v>
      </c>
      <c r="G26" s="54">
        <f>(adatok!U27)</f>
        <v>0.3008696956065377</v>
      </c>
      <c r="H26" s="79">
        <f t="shared" si="0"/>
        <v>0.37550494198538886</v>
      </c>
      <c r="I26" s="79">
        <f t="shared" si="1"/>
        <v>0.577612742463478</v>
      </c>
      <c r="J26" s="79">
        <f t="shared" si="2"/>
        <v>1.2358598580261049</v>
      </c>
      <c r="K26" s="79">
        <f t="shared" si="3"/>
        <v>1.117391304347826</v>
      </c>
      <c r="L26" s="79">
        <f t="shared" si="4"/>
        <v>1.3564289724873666</v>
      </c>
      <c r="M26" s="106">
        <f t="shared" si="5"/>
        <v>4.662797819310165</v>
      </c>
      <c r="N26" s="130">
        <f t="shared" si="9"/>
        <v>4.3963318132417095</v>
      </c>
      <c r="O26" s="212">
        <f t="shared" si="12"/>
        <v>4</v>
      </c>
      <c r="P26" s="213">
        <f t="shared" si="10"/>
        <v>0</v>
      </c>
      <c r="Q26" s="216">
        <f t="shared" si="11"/>
        <v>4</v>
      </c>
      <c r="R26" s="87">
        <v>5</v>
      </c>
      <c r="S26" s="79">
        <f>elosztások!I24-elosztások!H24</f>
        <v>4</v>
      </c>
      <c r="T26">
        <f t="shared" si="6"/>
        <v>1</v>
      </c>
      <c r="U26" s="100">
        <f t="shared" si="7"/>
        <v>-3</v>
      </c>
      <c r="V26" s="100">
        <f t="shared" si="8"/>
        <v>3.35883651581437</v>
      </c>
      <c r="W26" s="137">
        <f>ROUND(O26*$T$37/100,0)</f>
        <v>0</v>
      </c>
      <c r="X26" s="79"/>
      <c r="Y26" s="79"/>
      <c r="Z26" s="79">
        <f>W26</f>
        <v>0</v>
      </c>
    </row>
    <row r="27" spans="1:27" s="162" customFormat="1" ht="12.75">
      <c r="A27" s="151" t="s">
        <v>17</v>
      </c>
      <c r="B27" s="44">
        <f>(n!E27)</f>
        <v>510.6666666666667</v>
      </c>
      <c r="C27" s="45">
        <f>(sz1sz2h!N27)</f>
        <v>268.6666666666667</v>
      </c>
      <c r="D27" s="45">
        <f>(sz1sz2h!O27)</f>
        <v>58</v>
      </c>
      <c r="E27" s="46">
        <f>(sz3sz4!H27)</f>
        <v>8</v>
      </c>
      <c r="F27" s="47">
        <f>(sz3sz4!F27)</f>
        <v>461</v>
      </c>
      <c r="G27" s="54">
        <f>(adatok!U28)</f>
        <v>0.4156487241902802</v>
      </c>
      <c r="H27" s="79">
        <f t="shared" si="0"/>
        <v>5.639936971780546</v>
      </c>
      <c r="I27" s="79">
        <f t="shared" si="1"/>
        <v>4.048311916744028</v>
      </c>
      <c r="J27" s="79">
        <f t="shared" si="2"/>
        <v>14.335974353102818</v>
      </c>
      <c r="K27" s="79">
        <f t="shared" si="3"/>
        <v>4.469565217391304</v>
      </c>
      <c r="L27" s="79">
        <f t="shared" si="4"/>
        <v>13.304548006737786</v>
      </c>
      <c r="M27" s="106">
        <f t="shared" si="5"/>
        <v>41.79833646575648</v>
      </c>
      <c r="N27" s="130">
        <f t="shared" si="9"/>
        <v>41.921465946067464</v>
      </c>
      <c r="O27" s="212">
        <f t="shared" si="12"/>
        <v>42</v>
      </c>
      <c r="P27" s="213">
        <f t="shared" si="10"/>
        <v>8</v>
      </c>
      <c r="Q27" s="216">
        <f t="shared" si="11"/>
        <v>50</v>
      </c>
      <c r="R27" s="87">
        <v>49</v>
      </c>
      <c r="S27" s="79">
        <f>elosztások!I25-elosztások!H25</f>
        <v>5</v>
      </c>
      <c r="T27">
        <f t="shared" si="6"/>
        <v>7</v>
      </c>
      <c r="U27" s="100">
        <f t="shared" si="7"/>
        <v>2</v>
      </c>
      <c r="V27" s="100">
        <f t="shared" si="8"/>
        <v>32.028371969560986</v>
      </c>
      <c r="W27" s="137"/>
      <c r="X27" s="79">
        <f>ROUND((O27*(1+$T$38/100)-O27),0)</f>
        <v>8</v>
      </c>
      <c r="Y27" s="79"/>
      <c r="Z27" s="79">
        <f>X27</f>
        <v>8</v>
      </c>
      <c r="AA27"/>
    </row>
    <row r="28" spans="1:27" s="162" customFormat="1" ht="12.75">
      <c r="A28" s="39" t="s">
        <v>16</v>
      </c>
      <c r="B28" s="44">
        <f>(n!E28)</f>
        <v>1502.6666666666667</v>
      </c>
      <c r="C28" s="45">
        <f>(sz1sz2h!N28)</f>
        <v>644</v>
      </c>
      <c r="D28" s="45">
        <f>(sz1sz2h!O28)</f>
        <v>165</v>
      </c>
      <c r="E28" s="46">
        <f>(sz3sz4!H28)</f>
        <v>17</v>
      </c>
      <c r="F28" s="47">
        <f>(sz3sz4!F28)</f>
        <v>1253</v>
      </c>
      <c r="G28" s="54">
        <f>(adatok!U29)</f>
        <v>0.5038116686496963</v>
      </c>
      <c r="H28" s="79">
        <f t="shared" si="0"/>
        <v>16.595845867354246</v>
      </c>
      <c r="I28" s="79">
        <f t="shared" si="1"/>
        <v>9.70389407338643</v>
      </c>
      <c r="J28" s="79">
        <f t="shared" si="2"/>
        <v>40.783375314861466</v>
      </c>
      <c r="K28" s="79">
        <f t="shared" si="3"/>
        <v>9.497826086956522</v>
      </c>
      <c r="L28" s="79">
        <f t="shared" si="4"/>
        <v>36.16181920269511</v>
      </c>
      <c r="M28" s="106">
        <f t="shared" si="5"/>
        <v>112.74276054525377</v>
      </c>
      <c r="N28" s="130">
        <f t="shared" si="9"/>
        <v>118.27886664464337</v>
      </c>
      <c r="O28" s="212">
        <f t="shared" si="12"/>
        <v>118</v>
      </c>
      <c r="P28" s="213">
        <f t="shared" si="10"/>
        <v>38</v>
      </c>
      <c r="Q28" s="216">
        <f t="shared" si="11"/>
        <v>156</v>
      </c>
      <c r="R28" s="87">
        <v>155</v>
      </c>
      <c r="S28" s="79">
        <f>elosztások!I26-elosztások!H26</f>
        <v>-1</v>
      </c>
      <c r="T28">
        <f t="shared" si="6"/>
        <v>23</v>
      </c>
      <c r="U28" s="100">
        <f t="shared" si="7"/>
        <v>22</v>
      </c>
      <c r="V28" s="100">
        <f t="shared" si="8"/>
        <v>90.36610365454325</v>
      </c>
      <c r="W28" s="137"/>
      <c r="X28" s="79"/>
      <c r="Y28" s="79">
        <f>ROUND((O28*(1+$T$39/100)-O28),0)</f>
        <v>38</v>
      </c>
      <c r="Z28" s="79">
        <f>Y28</f>
        <v>38</v>
      </c>
      <c r="AA28"/>
    </row>
    <row r="29" spans="1:27" ht="13.5" thickBot="1">
      <c r="A29" s="40" t="s">
        <v>119</v>
      </c>
      <c r="B29" s="44">
        <f>(n!E29)</f>
        <v>32.333333333333336</v>
      </c>
      <c r="C29" s="45">
        <f>(sz1sz2h!N29)</f>
        <v>216.33333333333334</v>
      </c>
      <c r="D29" s="45">
        <f>(sz1sz2h!O29)</f>
        <v>18.333333333333332</v>
      </c>
      <c r="E29" s="46">
        <f>(sz3sz4!H29)</f>
        <v>2</v>
      </c>
      <c r="F29" s="47">
        <f>(sz3sz4!F29)</f>
        <v>158</v>
      </c>
      <c r="G29" s="54">
        <f>(adatok!U30)</f>
        <v>0.22719925030269858</v>
      </c>
      <c r="H29" s="175">
        <f t="shared" si="0"/>
        <v>0.35709783698610514</v>
      </c>
      <c r="I29" s="175">
        <f t="shared" si="1"/>
        <v>3.2597449552938893</v>
      </c>
      <c r="J29" s="175">
        <f t="shared" si="2"/>
        <v>4.531486146095718</v>
      </c>
      <c r="K29" s="175">
        <f t="shared" si="3"/>
        <v>1.117391304347826</v>
      </c>
      <c r="L29" s="175">
        <f t="shared" si="4"/>
        <v>4.55991016282987</v>
      </c>
      <c r="M29" s="106">
        <f t="shared" si="5"/>
        <v>13.825630405553408</v>
      </c>
      <c r="N29" s="130">
        <f t="shared" si="9"/>
        <v>12.502272841175914</v>
      </c>
      <c r="O29" s="212">
        <f t="shared" si="12"/>
        <v>13</v>
      </c>
      <c r="P29" s="213">
        <f t="shared" si="10"/>
        <v>1</v>
      </c>
      <c r="Q29" s="216">
        <f t="shared" si="11"/>
        <v>14</v>
      </c>
      <c r="R29" s="204">
        <v>0</v>
      </c>
      <c r="S29" s="79">
        <f>elosztások!I23-elosztások!H23</f>
        <v>2</v>
      </c>
      <c r="T29" s="162">
        <f t="shared" si="6"/>
        <v>1</v>
      </c>
      <c r="U29" s="100">
        <f t="shared" si="7"/>
        <v>-1</v>
      </c>
      <c r="V29" s="175">
        <f t="shared" si="8"/>
        <v>9.551847388573615</v>
      </c>
      <c r="W29" s="176">
        <f>ROUND(O29*$T$37/100,0)</f>
        <v>1</v>
      </c>
      <c r="X29" s="175"/>
      <c r="Y29" s="175"/>
      <c r="Z29" s="79">
        <f>W29</f>
        <v>1</v>
      </c>
      <c r="AA29" s="162"/>
    </row>
    <row r="30" spans="1:26" ht="13.5" thickBot="1">
      <c r="A30" s="49" t="s">
        <v>21</v>
      </c>
      <c r="B30" s="64">
        <f>SUM(B3:B29)</f>
        <v>13962</v>
      </c>
      <c r="C30" s="42">
        <f>SUM(C3:C29)</f>
        <v>6822.333333333332</v>
      </c>
      <c r="D30" s="71">
        <f>SUM(D3:D29)</f>
        <v>1455.6666666666663</v>
      </c>
      <c r="E30" s="42">
        <f>SUM(E3:E29)</f>
        <v>184</v>
      </c>
      <c r="F30" s="42">
        <f>SUM(F3:F29)</f>
        <v>10686</v>
      </c>
      <c r="G30" s="81">
        <f>(adatok!U31)</f>
        <v>0.39645352545175383</v>
      </c>
      <c r="H30" s="79">
        <f t="shared" si="0"/>
        <v>154.2</v>
      </c>
      <c r="I30" s="79">
        <f t="shared" si="1"/>
        <v>102.80000000000001</v>
      </c>
      <c r="J30" s="79">
        <f t="shared" si="2"/>
        <v>359.79999999999995</v>
      </c>
      <c r="K30" s="79">
        <f>F30/$F$30*$K$32</f>
        <v>102.80000000000001</v>
      </c>
      <c r="L30" s="79">
        <f t="shared" si="4"/>
        <v>308.4</v>
      </c>
      <c r="M30" s="106">
        <f t="shared" si="5"/>
        <v>1028</v>
      </c>
      <c r="N30" s="130">
        <f>1028/$V$30*(0.4*G30*M30+0.6*M30)</f>
        <v>1020.6971630776928</v>
      </c>
      <c r="O30" s="212">
        <f>SUM(O3:O29)</f>
        <v>1028</v>
      </c>
      <c r="P30" s="213">
        <f>SUM(P3:P29)</f>
        <v>257</v>
      </c>
      <c r="Q30" s="216">
        <f>SUM(Q3:Q29)</f>
        <v>1290</v>
      </c>
      <c r="R30" s="86">
        <f>SUM(R3:R29)</f>
        <v>1270</v>
      </c>
      <c r="U30" s="99"/>
      <c r="V30" s="100">
        <f>SUM(V3:V29)</f>
        <v>785.4011218755414</v>
      </c>
      <c r="W30" s="79">
        <f>SUM(W3:W29)</f>
        <v>9</v>
      </c>
      <c r="X30" s="79">
        <f>SUM(X3:X29)</f>
        <v>53</v>
      </c>
      <c r="Y30" s="79">
        <f>SUM(Y3:Y29)</f>
        <v>195</v>
      </c>
      <c r="Z30" s="142">
        <f>SUM(Z3:Z29)</f>
        <v>257</v>
      </c>
    </row>
    <row r="31" spans="13:25" ht="12.75">
      <c r="M31" s="107"/>
      <c r="N31" s="131"/>
      <c r="O31" s="219"/>
      <c r="P31" s="161"/>
      <c r="Q31" s="221"/>
      <c r="S31" s="84"/>
      <c r="U31" s="99"/>
      <c r="V31" s="99"/>
      <c r="W31" s="79"/>
      <c r="X31" s="79"/>
      <c r="Y31" s="79"/>
    </row>
    <row r="32" spans="6:25" ht="12.75">
      <c r="F32" t="s">
        <v>28</v>
      </c>
      <c r="H32" s="83">
        <f>1028*0.15</f>
        <v>154.2</v>
      </c>
      <c r="I32" s="83">
        <f>1028*0.1</f>
        <v>102.80000000000001</v>
      </c>
      <c r="J32" s="83">
        <f>1028*0.35</f>
        <v>359.79999999999995</v>
      </c>
      <c r="K32" s="83">
        <f>1028*0.1</f>
        <v>102.80000000000001</v>
      </c>
      <c r="L32" s="83">
        <f>1028*0.3</f>
        <v>308.4</v>
      </c>
      <c r="M32" s="104"/>
      <c r="N32" s="132"/>
      <c r="O32" s="219">
        <v>1.0001</v>
      </c>
      <c r="P32" s="161"/>
      <c r="Q32" s="218"/>
      <c r="U32" s="99"/>
      <c r="V32" s="99"/>
      <c r="Y32" s="139">
        <v>1.005</v>
      </c>
    </row>
    <row r="33" spans="13:22" ht="93">
      <c r="M33" s="105" t="s">
        <v>34</v>
      </c>
      <c r="N33" s="133" t="s">
        <v>61</v>
      </c>
      <c r="O33" s="220" t="s">
        <v>60</v>
      </c>
      <c r="P33" s="210"/>
      <c r="Q33" s="217" t="s">
        <v>60</v>
      </c>
      <c r="S33" s="85" t="s">
        <v>58</v>
      </c>
      <c r="T33" s="85" t="s">
        <v>59</v>
      </c>
      <c r="U33" s="101" t="s">
        <v>86</v>
      </c>
      <c r="V33" s="101" t="s">
        <v>86</v>
      </c>
    </row>
    <row r="37" spans="18:25" ht="12.75">
      <c r="R37" s="135">
        <v>0.05</v>
      </c>
      <c r="S37" s="128">
        <f>(N7+N8+N9+N11+N12+N14+N16+N17+N18+N19+N20+N22+N25+N26+N29)*0.05</f>
        <v>7.5423148807928175</v>
      </c>
      <c r="T37" s="141">
        <f>U37/S37*5*Y32</f>
        <v>6.498671366864038</v>
      </c>
      <c r="U37" s="79">
        <f>S37*$U$40/$S$40</f>
        <v>9.754233981230017</v>
      </c>
      <c r="V37" s="79">
        <f>W30</f>
        <v>9</v>
      </c>
      <c r="W37" s="1"/>
      <c r="X37" s="136"/>
      <c r="Y37" s="136"/>
    </row>
    <row r="38" spans="18:22" ht="12.75">
      <c r="R38" s="135">
        <v>0.15</v>
      </c>
      <c r="S38" s="128">
        <f>(N3+N15+N21+N23+N27)*0.15</f>
        <v>41.00538965752764</v>
      </c>
      <c r="T38" s="141">
        <f>U38/S38*15*Y32</f>
        <v>19.496014100592117</v>
      </c>
      <c r="U38" s="79">
        <f>S38*$U$40/$S$40</f>
        <v>53.030955553129886</v>
      </c>
      <c r="V38" s="79">
        <f>X30</f>
        <v>53</v>
      </c>
    </row>
    <row r="39" spans="18:22" ht="12.75">
      <c r="R39" s="135">
        <v>0.25</v>
      </c>
      <c r="S39" s="128">
        <f>(N4+N6+N10+N24+N28)*0.25</f>
        <v>150.17368435738894</v>
      </c>
      <c r="T39" s="141">
        <f>U39/S39*25*Y32</f>
        <v>32.49335683432019</v>
      </c>
      <c r="U39" s="79">
        <f>S39*$U$40/$S$40</f>
        <v>194.21481046564008</v>
      </c>
      <c r="V39" s="79">
        <f>Y30</f>
        <v>195</v>
      </c>
    </row>
    <row r="40" spans="19:22" ht="12.75">
      <c r="S40" s="128">
        <f>SUM(S37:S39)</f>
        <v>198.7213888957094</v>
      </c>
      <c r="U40">
        <v>257</v>
      </c>
      <c r="V40" s="142">
        <f>SUM(V37:V39)</f>
        <v>257</v>
      </c>
    </row>
    <row r="42" spans="14:21" ht="12.75">
      <c r="N42" s="134"/>
      <c r="U42" s="22"/>
    </row>
  </sheetData>
  <sheetProtection/>
  <conditionalFormatting sqref="U3:U29">
    <cfRule type="expression" priority="1" dxfId="1" stopIfTrue="1">
      <formula>U3&gt;T3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Állami ösztöndíjas PhD helyek elosztása - 2012</dc:title>
  <dc:subject/>
  <dc:creator>Vida Mari</dc:creator>
  <cp:keywords/>
  <dc:description/>
  <cp:lastModifiedBy>vidamari</cp:lastModifiedBy>
  <cp:lastPrinted>2012-01-24T10:27:46Z</cp:lastPrinted>
  <dcterms:created xsi:type="dcterms:W3CDTF">2007-01-26T07:22:57Z</dcterms:created>
  <dcterms:modified xsi:type="dcterms:W3CDTF">2012-02-16T08:56:07Z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